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80" windowWidth="14880" windowHeight="7668"/>
  </bookViews>
  <sheets>
    <sheet name="Kansilehti" sheetId="23" r:id="rId1"/>
    <sheet name="Ohje" sheetId="21" r:id="rId2"/>
    <sheet name="Oletusarvot" sheetId="25" r:id="rId3"/>
    <sheet name="Operatiiviset" sheetId="3" r:id="rId4"/>
    <sheet name="Palvelutasot" sheetId="15" r:id="rId5"/>
    <sheet name="Käsittely" sheetId="20" r:id="rId6"/>
    <sheet name="Uudet hinnat" sheetId="7" r:id="rId7"/>
    <sheet name="Uudet hinnat-oma hinnanmääritys" sheetId="24" r:id="rId8"/>
    <sheet name="Kuvaajat" sheetId="17" r:id="rId9"/>
    <sheet name="Säiliöt" sheetId="12" state="hidden" r:id="rId10"/>
  </sheets>
  <calcPr calcId="145621"/>
</workbook>
</file>

<file path=xl/calcChain.xml><?xml version="1.0" encoding="utf-8"?>
<calcChain xmlns="http://schemas.openxmlformats.org/spreadsheetml/2006/main">
  <c r="B36" i="24" l="1"/>
  <c r="B37" i="24"/>
  <c r="B38" i="24"/>
  <c r="B39" i="24"/>
  <c r="B40" i="24"/>
  <c r="B41" i="24"/>
  <c r="B35" i="24"/>
  <c r="P14" i="24"/>
  <c r="P15" i="24"/>
  <c r="P16" i="24"/>
  <c r="P17" i="24"/>
  <c r="P18" i="24"/>
  <c r="P19" i="24"/>
  <c r="P13" i="24"/>
  <c r="L14" i="24"/>
  <c r="L15" i="24"/>
  <c r="L16" i="24"/>
  <c r="L17" i="24"/>
  <c r="L18" i="24"/>
  <c r="L19" i="24"/>
  <c r="L13" i="24"/>
  <c r="B14" i="24"/>
  <c r="B15" i="24"/>
  <c r="B16" i="24"/>
  <c r="B17" i="24"/>
  <c r="B18" i="24"/>
  <c r="B19" i="24"/>
  <c r="B13" i="24"/>
  <c r="B41" i="7"/>
  <c r="B42" i="7"/>
  <c r="B43" i="7"/>
  <c r="B44" i="7"/>
  <c r="B45" i="7"/>
  <c r="B46" i="7"/>
  <c r="B40" i="7"/>
  <c r="P13" i="7"/>
  <c r="P14" i="7"/>
  <c r="P15" i="7"/>
  <c r="P16" i="7"/>
  <c r="P17" i="7"/>
  <c r="P18" i="7"/>
  <c r="P12" i="7"/>
  <c r="L13" i="7"/>
  <c r="L14" i="7"/>
  <c r="L15" i="7"/>
  <c r="L16" i="7"/>
  <c r="L17" i="7"/>
  <c r="L18" i="7"/>
  <c r="L12" i="7"/>
  <c r="B13" i="7"/>
  <c r="B14" i="7"/>
  <c r="B15" i="7"/>
  <c r="B16" i="7"/>
  <c r="B17" i="7"/>
  <c r="B18" i="7"/>
  <c r="B12" i="7"/>
  <c r="E11" i="20"/>
  <c r="E12" i="20"/>
  <c r="E13" i="20"/>
  <c r="E14" i="20"/>
  <c r="E15" i="20"/>
  <c r="E16" i="20"/>
  <c r="E10" i="20"/>
  <c r="B10" i="20"/>
  <c r="B11" i="20"/>
  <c r="B12" i="20"/>
  <c r="B13" i="20"/>
  <c r="B14" i="20"/>
  <c r="B15" i="20"/>
  <c r="B16" i="20"/>
  <c r="G39" i="15"/>
  <c r="G40" i="15"/>
  <c r="G41" i="15"/>
  <c r="G42" i="15"/>
  <c r="G43" i="15"/>
  <c r="G44" i="15"/>
  <c r="G38" i="15"/>
  <c r="AF17" i="15"/>
  <c r="AF18" i="15"/>
  <c r="AF19" i="15"/>
  <c r="AF20" i="15"/>
  <c r="AF21" i="15"/>
  <c r="AF22" i="15"/>
  <c r="AA17" i="15"/>
  <c r="AA18" i="15"/>
  <c r="AA19" i="15"/>
  <c r="AA20" i="15"/>
  <c r="AA21" i="15"/>
  <c r="AA22" i="15"/>
  <c r="V17" i="15"/>
  <c r="V18" i="15"/>
  <c r="V19" i="15"/>
  <c r="V20" i="15"/>
  <c r="V21" i="15"/>
  <c r="V22" i="15"/>
  <c r="Q17" i="15"/>
  <c r="Q18" i="15"/>
  <c r="Q19" i="15"/>
  <c r="Q20" i="15"/>
  <c r="Q21" i="15"/>
  <c r="Q22" i="15"/>
  <c r="L17" i="15"/>
  <c r="L18" i="15"/>
  <c r="L19" i="15"/>
  <c r="L20" i="15"/>
  <c r="L21" i="15"/>
  <c r="L22" i="15"/>
  <c r="G17" i="15"/>
  <c r="G18" i="15"/>
  <c r="G19" i="15"/>
  <c r="G20" i="15"/>
  <c r="G21" i="15"/>
  <c r="G22" i="15"/>
  <c r="AF16" i="15"/>
  <c r="AA16" i="15"/>
  <c r="V16" i="15"/>
  <c r="Q16" i="15"/>
  <c r="L16" i="15"/>
  <c r="G16" i="15"/>
  <c r="B16" i="15"/>
  <c r="B17" i="15"/>
  <c r="B18" i="15"/>
  <c r="B19" i="15"/>
  <c r="B20" i="15"/>
  <c r="B21" i="15"/>
  <c r="B22" i="15"/>
  <c r="B47" i="3"/>
  <c r="H38" i="3"/>
  <c r="B38" i="3"/>
  <c r="H28" i="3"/>
  <c r="B28" i="3"/>
  <c r="H13" i="3"/>
  <c r="B13" i="3"/>
  <c r="D25" i="25"/>
  <c r="D26" i="25"/>
  <c r="D27" i="25"/>
  <c r="D28" i="25"/>
  <c r="D29" i="25"/>
  <c r="D30" i="25"/>
  <c r="D24" i="25"/>
  <c r="D17" i="25"/>
  <c r="D18" i="25"/>
  <c r="D19" i="25"/>
  <c r="D20" i="25"/>
  <c r="D21" i="25"/>
  <c r="D16" i="25"/>
  <c r="B6" i="24" l="1"/>
  <c r="B7" i="24"/>
  <c r="B8" i="24"/>
  <c r="C90" i="17" l="1"/>
  <c r="R89" i="17"/>
  <c r="K89" i="17"/>
  <c r="G89" i="17"/>
  <c r="E89" i="17"/>
  <c r="I89" i="17" s="1"/>
  <c r="R88" i="17"/>
  <c r="E88" i="17"/>
  <c r="K88" i="17" s="1"/>
  <c r="R87" i="17"/>
  <c r="K87" i="17"/>
  <c r="G87" i="17"/>
  <c r="E87" i="17"/>
  <c r="I87" i="17" s="1"/>
  <c r="R86" i="17"/>
  <c r="E86" i="17"/>
  <c r="K86" i="17" s="1"/>
  <c r="R85" i="17"/>
  <c r="K85" i="17"/>
  <c r="G85" i="17"/>
  <c r="E85" i="17"/>
  <c r="I85" i="17" s="1"/>
  <c r="R84" i="17"/>
  <c r="R90" i="17" s="1"/>
  <c r="E84" i="17"/>
  <c r="K84" i="17" s="1"/>
  <c r="R83" i="17"/>
  <c r="E83" i="17"/>
  <c r="C43" i="17"/>
  <c r="B43" i="17"/>
  <c r="C42" i="17"/>
  <c r="B42" i="17"/>
  <c r="C41" i="17"/>
  <c r="B41" i="17"/>
  <c r="C40" i="17"/>
  <c r="B40" i="17"/>
  <c r="C39" i="17"/>
  <c r="B39" i="17"/>
  <c r="C38" i="17"/>
  <c r="B38" i="17"/>
  <c r="C37" i="17"/>
  <c r="B37" i="17"/>
  <c r="G29" i="17"/>
  <c r="G28" i="17"/>
  <c r="G27" i="17"/>
  <c r="R22" i="17"/>
  <c r="E22" i="17"/>
  <c r="R21" i="17"/>
  <c r="K21" i="17"/>
  <c r="I21" i="17"/>
  <c r="G21" i="17"/>
  <c r="E21" i="17"/>
  <c r="R20" i="17"/>
  <c r="K20" i="17"/>
  <c r="I20" i="17"/>
  <c r="G20" i="17"/>
  <c r="E20" i="17"/>
  <c r="R19" i="17"/>
  <c r="K19" i="17"/>
  <c r="I19" i="17"/>
  <c r="G19" i="17"/>
  <c r="E19" i="17"/>
  <c r="R18" i="17"/>
  <c r="K18" i="17"/>
  <c r="I18" i="17"/>
  <c r="G18" i="17"/>
  <c r="E18" i="17"/>
  <c r="R17" i="17"/>
  <c r="K17" i="17"/>
  <c r="I17" i="17"/>
  <c r="G17" i="17"/>
  <c r="E17" i="17"/>
  <c r="R16" i="17"/>
  <c r="K16" i="17"/>
  <c r="I16" i="17"/>
  <c r="G16" i="17"/>
  <c r="E16" i="17"/>
  <c r="R15" i="17"/>
  <c r="K15" i="17"/>
  <c r="I15" i="17"/>
  <c r="G15" i="17"/>
  <c r="E15" i="17"/>
  <c r="M19" i="24"/>
  <c r="C19" i="24"/>
  <c r="H19" i="24" s="1"/>
  <c r="M18" i="24"/>
  <c r="M17" i="24"/>
  <c r="M16" i="24"/>
  <c r="M15" i="24"/>
  <c r="M14" i="24"/>
  <c r="M13" i="24"/>
  <c r="B5" i="24"/>
  <c r="B4" i="24"/>
  <c r="B3" i="24"/>
  <c r="M18" i="7"/>
  <c r="M17" i="7"/>
  <c r="M16" i="7"/>
  <c r="M15" i="7"/>
  <c r="M14" i="7"/>
  <c r="M13" i="7"/>
  <c r="M12" i="7"/>
  <c r="B8" i="7"/>
  <c r="B7" i="7"/>
  <c r="B6" i="7"/>
  <c r="B5" i="7"/>
  <c r="B4" i="7"/>
  <c r="B3" i="7"/>
  <c r="B6" i="20"/>
  <c r="B5" i="20"/>
  <c r="B4" i="20"/>
  <c r="C48" i="15"/>
  <c r="B48" i="15"/>
  <c r="C47" i="15"/>
  <c r="B47" i="15"/>
  <c r="C46" i="15"/>
  <c r="B46" i="15"/>
  <c r="C45" i="15"/>
  <c r="B45" i="15"/>
  <c r="C44" i="15"/>
  <c r="B44" i="15"/>
  <c r="C43" i="15"/>
  <c r="B43" i="15"/>
  <c r="B42" i="15"/>
  <c r="C40" i="15"/>
  <c r="B40" i="15"/>
  <c r="C39" i="15"/>
  <c r="B39" i="15"/>
  <c r="C38" i="15"/>
  <c r="B38" i="15"/>
  <c r="C37" i="15"/>
  <c r="B37" i="15"/>
  <c r="C36" i="15"/>
  <c r="B36" i="15"/>
  <c r="AG32" i="15"/>
  <c r="AF32" i="15"/>
  <c r="AB32" i="15"/>
  <c r="AA32" i="15"/>
  <c r="W32" i="15"/>
  <c r="V32" i="15"/>
  <c r="R32" i="15"/>
  <c r="T21" i="15" s="1"/>
  <c r="Q32" i="15"/>
  <c r="M32" i="15"/>
  <c r="O21" i="15" s="1"/>
  <c r="L32" i="15"/>
  <c r="H32" i="15"/>
  <c r="J21" i="15" s="1"/>
  <c r="G32" i="15"/>
  <c r="C32" i="15"/>
  <c r="E21" i="15" s="1"/>
  <c r="AG31" i="15"/>
  <c r="AF31" i="15"/>
  <c r="AB31" i="15"/>
  <c r="AA31" i="15"/>
  <c r="W31" i="15"/>
  <c r="V31" i="15"/>
  <c r="R31" i="15"/>
  <c r="Q31" i="15"/>
  <c r="M31" i="15"/>
  <c r="L31" i="15"/>
  <c r="H31" i="15"/>
  <c r="G31" i="15"/>
  <c r="C31" i="15"/>
  <c r="AF29" i="15"/>
  <c r="AA29" i="15"/>
  <c r="V29" i="15"/>
  <c r="Q29" i="15"/>
  <c r="L29" i="15"/>
  <c r="G29" i="15"/>
  <c r="AF28" i="15"/>
  <c r="AA28" i="15"/>
  <c r="V28" i="15"/>
  <c r="Q28" i="15"/>
  <c r="L28" i="15"/>
  <c r="G28" i="15"/>
  <c r="AF27" i="15"/>
  <c r="AA27" i="15"/>
  <c r="V27" i="15"/>
  <c r="Q27" i="15"/>
  <c r="L27" i="15"/>
  <c r="G27" i="15"/>
  <c r="AF26" i="15"/>
  <c r="AA26" i="15"/>
  <c r="V26" i="15"/>
  <c r="Q26" i="15"/>
  <c r="L26" i="15"/>
  <c r="G26" i="15"/>
  <c r="AI25" i="15"/>
  <c r="AG25" i="15"/>
  <c r="AF25" i="15"/>
  <c r="AD25" i="15"/>
  <c r="AB25" i="15"/>
  <c r="AA25" i="15"/>
  <c r="Y25" i="15"/>
  <c r="W25" i="15"/>
  <c r="V25" i="15"/>
  <c r="T25" i="15"/>
  <c r="R25" i="15"/>
  <c r="Q25" i="15"/>
  <c r="O25" i="15"/>
  <c r="M25" i="15"/>
  <c r="L25" i="15"/>
  <c r="J25" i="15"/>
  <c r="H25" i="15"/>
  <c r="G25" i="15"/>
  <c r="AH23" i="15"/>
  <c r="AH23" i="15" a="1"/>
  <c r="AC23" i="15"/>
  <c r="AC23" i="15" a="1"/>
  <c r="X23" i="15"/>
  <c r="X23" i="15" a="1"/>
  <c r="S23" i="15"/>
  <c r="S23" i="15" a="1"/>
  <c r="N23" i="15"/>
  <c r="N23" i="15" a="1"/>
  <c r="I23" i="15"/>
  <c r="I23" i="15" a="1"/>
  <c r="D23" i="15"/>
  <c r="D23" i="15" a="1"/>
  <c r="AI22" i="15"/>
  <c r="AD22" i="15"/>
  <c r="Y22" i="15"/>
  <c r="J22" i="15"/>
  <c r="E22" i="15"/>
  <c r="AI21" i="15"/>
  <c r="AD21" i="15"/>
  <c r="Y21" i="15"/>
  <c r="AI20" i="15"/>
  <c r="AD20" i="15"/>
  <c r="Y20" i="15"/>
  <c r="J20" i="15"/>
  <c r="E20" i="15"/>
  <c r="AI19" i="15"/>
  <c r="AD19" i="15"/>
  <c r="Y19" i="15"/>
  <c r="J19" i="15"/>
  <c r="AI18" i="15"/>
  <c r="AD18" i="15"/>
  <c r="Y18" i="15"/>
  <c r="T18" i="15"/>
  <c r="E18" i="15"/>
  <c r="AI17" i="15"/>
  <c r="AD17" i="15"/>
  <c r="Y17" i="15"/>
  <c r="J17" i="15"/>
  <c r="AI15" i="15"/>
  <c r="AD15" i="15"/>
  <c r="Y15" i="15"/>
  <c r="T15" i="15"/>
  <c r="O15" i="15"/>
  <c r="J15" i="15"/>
  <c r="B13" i="15"/>
  <c r="C12" i="15"/>
  <c r="C11" i="15"/>
  <c r="C10" i="15"/>
  <c r="C9" i="15"/>
  <c r="B8" i="15"/>
  <c r="B7" i="15"/>
  <c r="B6" i="15"/>
  <c r="B5" i="15"/>
  <c r="B4" i="15"/>
  <c r="B3" i="15"/>
  <c r="F51" i="3"/>
  <c r="C18" i="7" s="1"/>
  <c r="F50" i="3"/>
  <c r="F49" i="3"/>
  <c r="E48" i="3"/>
  <c r="D48" i="3"/>
  <c r="C48" i="3"/>
  <c r="B48" i="3"/>
  <c r="L44" i="3"/>
  <c r="F44" i="3"/>
  <c r="L43" i="3"/>
  <c r="F43" i="3"/>
  <c r="L42" i="3"/>
  <c r="F42" i="3"/>
  <c r="L41" i="3"/>
  <c r="F41" i="3"/>
  <c r="L40" i="3"/>
  <c r="L45" i="3" s="1"/>
  <c r="F40" i="3"/>
  <c r="F45" i="3" s="1"/>
  <c r="K39" i="3"/>
  <c r="J39" i="3"/>
  <c r="I39" i="3"/>
  <c r="H39" i="3"/>
  <c r="E39" i="3"/>
  <c r="D39" i="3"/>
  <c r="C39" i="3"/>
  <c r="B39" i="3"/>
  <c r="L35" i="3"/>
  <c r="F35" i="3"/>
  <c r="L34" i="3"/>
  <c r="F34" i="3"/>
  <c r="L33" i="3"/>
  <c r="F33" i="3"/>
  <c r="L32" i="3"/>
  <c r="F32" i="3"/>
  <c r="L31" i="3"/>
  <c r="F31" i="3"/>
  <c r="L30" i="3"/>
  <c r="L36" i="3" s="1"/>
  <c r="F30" i="3"/>
  <c r="F36" i="3" s="1"/>
  <c r="K29" i="3"/>
  <c r="J29" i="3"/>
  <c r="I29" i="3"/>
  <c r="H29" i="3"/>
  <c r="E29" i="3"/>
  <c r="D29" i="3"/>
  <c r="C29" i="3"/>
  <c r="B29" i="3"/>
  <c r="F26" i="3"/>
  <c r="C13" i="24" s="1"/>
  <c r="L25" i="3"/>
  <c r="F25" i="3"/>
  <c r="L24" i="3"/>
  <c r="F24" i="3"/>
  <c r="L23" i="3"/>
  <c r="F23" i="3"/>
  <c r="L22" i="3"/>
  <c r="F22" i="3"/>
  <c r="L21" i="3"/>
  <c r="F21" i="3"/>
  <c r="L20" i="3"/>
  <c r="F20" i="3"/>
  <c r="L19" i="3"/>
  <c r="F19" i="3"/>
  <c r="L18" i="3"/>
  <c r="F18" i="3"/>
  <c r="L17" i="3"/>
  <c r="F17" i="3"/>
  <c r="L16" i="3"/>
  <c r="F16" i="3"/>
  <c r="L15" i="3"/>
  <c r="L26" i="3" s="1"/>
  <c r="F15" i="3"/>
  <c r="K14" i="3"/>
  <c r="J14" i="3"/>
  <c r="I14" i="3"/>
  <c r="H14" i="3"/>
  <c r="B11" i="3"/>
  <c r="B10" i="3"/>
  <c r="B9" i="3"/>
  <c r="B8" i="3"/>
  <c r="B7" i="3"/>
  <c r="B6" i="3"/>
  <c r="B5" i="3"/>
  <c r="B4" i="3"/>
  <c r="E24" i="25"/>
  <c r="B5" i="25"/>
  <c r="B4" i="25"/>
  <c r="B3" i="25"/>
  <c r="H51" i="21"/>
  <c r="H50" i="21"/>
  <c r="H13" i="21"/>
  <c r="H12" i="21"/>
  <c r="H11" i="21"/>
  <c r="H10" i="21"/>
  <c r="H8" i="21"/>
  <c r="H3" i="21"/>
  <c r="AI16" i="15" l="1"/>
  <c r="AI23" i="15" s="1"/>
  <c r="AD16" i="15"/>
  <c r="AD23" i="15" s="1"/>
  <c r="Y16" i="15"/>
  <c r="Y23" i="15" s="1"/>
  <c r="M41" i="15"/>
  <c r="M39" i="15"/>
  <c r="M43" i="15"/>
  <c r="Q44" i="15"/>
  <c r="D35" i="7" s="1"/>
  <c r="M38" i="15"/>
  <c r="M42" i="15"/>
  <c r="M44" i="15"/>
  <c r="Q43" i="15"/>
  <c r="D34" i="7" s="1"/>
  <c r="T22" i="15"/>
  <c r="T19" i="15"/>
  <c r="T17" i="15"/>
  <c r="T20" i="15"/>
  <c r="J18" i="15"/>
  <c r="J16" i="15" s="1"/>
  <c r="H43" i="15"/>
  <c r="C15" i="20" s="1"/>
  <c r="G15" i="20" s="1"/>
  <c r="D18" i="24" s="1"/>
  <c r="J18" i="24" s="1"/>
  <c r="E17" i="15"/>
  <c r="E19" i="15"/>
  <c r="G18" i="7"/>
  <c r="C46" i="7" s="1"/>
  <c r="H18" i="7"/>
  <c r="G19" i="24"/>
  <c r="C41" i="24" s="1"/>
  <c r="C15" i="24"/>
  <c r="C14" i="7"/>
  <c r="C17" i="7"/>
  <c r="C18" i="24"/>
  <c r="C16" i="7"/>
  <c r="C17" i="24"/>
  <c r="F52" i="3"/>
  <c r="C15" i="7"/>
  <c r="C16" i="24"/>
  <c r="C14" i="24"/>
  <c r="C13" i="7"/>
  <c r="L52" i="3"/>
  <c r="G13" i="24"/>
  <c r="C20" i="24"/>
  <c r="C12" i="7"/>
  <c r="O19" i="15"/>
  <c r="O20" i="15"/>
  <c r="O18" i="15"/>
  <c r="H40" i="15" s="1"/>
  <c r="O17" i="15"/>
  <c r="O22" i="15"/>
  <c r="H44" i="15" s="1"/>
  <c r="M40" i="15"/>
  <c r="K83" i="17"/>
  <c r="G98" i="17"/>
  <c r="G97" i="17"/>
  <c r="G96" i="17"/>
  <c r="I86" i="17"/>
  <c r="I84" i="17"/>
  <c r="I88" i="17"/>
  <c r="G84" i="17"/>
  <c r="G86" i="17"/>
  <c r="G88" i="17"/>
  <c r="Q42" i="15" l="1"/>
  <c r="D33" i="7" s="1"/>
  <c r="D17" i="7"/>
  <c r="D30" i="24"/>
  <c r="E30" i="24" s="1"/>
  <c r="M45" i="15"/>
  <c r="D28" i="24"/>
  <c r="E28" i="24" s="1"/>
  <c r="D29" i="24"/>
  <c r="E29" i="24" s="1"/>
  <c r="Q18" i="24"/>
  <c r="T16" i="15"/>
  <c r="H39" i="15"/>
  <c r="C11" i="20" s="1"/>
  <c r="G11" i="20" s="1"/>
  <c r="H42" i="15"/>
  <c r="Q16" i="7" s="1"/>
  <c r="I18" i="24"/>
  <c r="D40" i="24" s="1"/>
  <c r="Q17" i="7"/>
  <c r="J23" i="15"/>
  <c r="H41" i="15"/>
  <c r="Q16" i="24" s="1"/>
  <c r="E16" i="15"/>
  <c r="H14" i="7"/>
  <c r="G14" i="7"/>
  <c r="C42" i="7" s="1"/>
  <c r="H15" i="24"/>
  <c r="G15" i="24"/>
  <c r="C37" i="24" s="1"/>
  <c r="G18" i="24"/>
  <c r="C40" i="24" s="1"/>
  <c r="H18" i="24"/>
  <c r="G17" i="7"/>
  <c r="C45" i="7" s="1"/>
  <c r="H17" i="7"/>
  <c r="H16" i="7"/>
  <c r="G16" i="7"/>
  <c r="C44" i="7" s="1"/>
  <c r="H17" i="24"/>
  <c r="G17" i="24"/>
  <c r="C39" i="24" s="1"/>
  <c r="H16" i="24"/>
  <c r="G16" i="24"/>
  <c r="C38" i="24" s="1"/>
  <c r="H15" i="7"/>
  <c r="G15" i="7"/>
  <c r="C43" i="7" s="1"/>
  <c r="H13" i="7"/>
  <c r="G13" i="7"/>
  <c r="C41" i="7" s="1"/>
  <c r="G14" i="24"/>
  <c r="C36" i="24" s="1"/>
  <c r="H14" i="24"/>
  <c r="G12" i="7"/>
  <c r="C19" i="7"/>
  <c r="C35" i="24"/>
  <c r="Q19" i="24"/>
  <c r="Q18" i="7"/>
  <c r="C16" i="20"/>
  <c r="G16" i="20" s="1"/>
  <c r="J17" i="7"/>
  <c r="I17" i="7"/>
  <c r="O16" i="15"/>
  <c r="Q15" i="24"/>
  <c r="Q14" i="7"/>
  <c r="C12" i="20"/>
  <c r="G12" i="20" s="1"/>
  <c r="H96" i="17"/>
  <c r="I83" i="17"/>
  <c r="H97" i="17"/>
  <c r="G83" i="17"/>
  <c r="H98" i="17"/>
  <c r="H20" i="24" l="1"/>
  <c r="Q39" i="15"/>
  <c r="D30" i="7" s="1"/>
  <c r="N18" i="24"/>
  <c r="Q14" i="24"/>
  <c r="Q13" i="7"/>
  <c r="C14" i="20"/>
  <c r="G14" i="20" s="1"/>
  <c r="D17" i="24" s="1"/>
  <c r="C13" i="20"/>
  <c r="G13" i="20" s="1"/>
  <c r="D15" i="7" s="1"/>
  <c r="Q17" i="24"/>
  <c r="T23" i="15"/>
  <c r="Q41" i="15"/>
  <c r="Q15" i="7"/>
  <c r="Q38" i="15"/>
  <c r="E23" i="15"/>
  <c r="C42" i="24"/>
  <c r="G20" i="24"/>
  <c r="H19" i="7"/>
  <c r="C40" i="7"/>
  <c r="C47" i="7" s="1"/>
  <c r="G19" i="7"/>
  <c r="D19" i="24"/>
  <c r="D18" i="7"/>
  <c r="D15" i="24"/>
  <c r="D14" i="7"/>
  <c r="H38" i="15"/>
  <c r="Q40" i="15"/>
  <c r="O23" i="15"/>
  <c r="N17" i="7"/>
  <c r="C33" i="17" s="1"/>
  <c r="D45" i="7"/>
  <c r="D14" i="24"/>
  <c r="D13" i="7"/>
  <c r="D25" i="24" l="1"/>
  <c r="E25" i="24" s="1"/>
  <c r="D16" i="24"/>
  <c r="I16" i="24" s="1"/>
  <c r="D16" i="7"/>
  <c r="I16" i="7" s="1"/>
  <c r="D27" i="24"/>
  <c r="E27" i="24" s="1"/>
  <c r="D32" i="7"/>
  <c r="D29" i="7"/>
  <c r="D24" i="24"/>
  <c r="E24" i="24" s="1"/>
  <c r="D26" i="24"/>
  <c r="D31" i="7"/>
  <c r="Q45" i="15"/>
  <c r="J18" i="7"/>
  <c r="I18" i="7"/>
  <c r="J13" i="7"/>
  <c r="I13" i="7"/>
  <c r="Q12" i="7"/>
  <c r="H45" i="15"/>
  <c r="C10" i="20"/>
  <c r="Q13" i="24"/>
  <c r="J19" i="24"/>
  <c r="I19" i="24"/>
  <c r="J14" i="24"/>
  <c r="I14" i="24"/>
  <c r="L20" i="17"/>
  <c r="H20" i="17"/>
  <c r="D20" i="17"/>
  <c r="D88" i="17"/>
  <c r="F20" i="17"/>
  <c r="J20" i="17"/>
  <c r="L88" i="17"/>
  <c r="F88" i="17"/>
  <c r="H88" i="17"/>
  <c r="J88" i="17"/>
  <c r="J14" i="7"/>
  <c r="I14" i="7"/>
  <c r="J17" i="24"/>
  <c r="I17" i="24"/>
  <c r="J15" i="24"/>
  <c r="I15" i="24"/>
  <c r="J15" i="7"/>
  <c r="I15" i="7"/>
  <c r="J16" i="24" l="1"/>
  <c r="J20" i="24" s="1"/>
  <c r="J16" i="7"/>
  <c r="J19" i="7" s="1"/>
  <c r="D36" i="7"/>
  <c r="N15" i="7"/>
  <c r="C31" i="17" s="1"/>
  <c r="D43" i="7"/>
  <c r="D36" i="24"/>
  <c r="N14" i="24"/>
  <c r="N19" i="24"/>
  <c r="D41" i="24"/>
  <c r="D46" i="7"/>
  <c r="N18" i="7"/>
  <c r="C34" i="17" s="1"/>
  <c r="D38" i="24"/>
  <c r="N16" i="24"/>
  <c r="D37" i="24"/>
  <c r="N15" i="24"/>
  <c r="N17" i="24"/>
  <c r="D39" i="24"/>
  <c r="N13" i="7"/>
  <c r="C29" i="17" s="1"/>
  <c r="D41" i="7"/>
  <c r="D44" i="7"/>
  <c r="N16" i="7"/>
  <c r="C32" i="17" s="1"/>
  <c r="C17" i="20"/>
  <c r="G10" i="20"/>
  <c r="D42" i="7"/>
  <c r="N14" i="7"/>
  <c r="C30" i="17" s="1"/>
  <c r="E26" i="24"/>
  <c r="E31" i="24" s="1"/>
  <c r="D35" i="24" s="1"/>
  <c r="D31" i="24"/>
  <c r="D12" i="7" l="1"/>
  <c r="G17" i="20"/>
  <c r="D13" i="24"/>
  <c r="J17" i="17"/>
  <c r="F17" i="17"/>
  <c r="L17" i="17"/>
  <c r="D17" i="17"/>
  <c r="D85" i="17"/>
  <c r="H17" i="17"/>
  <c r="F85" i="17"/>
  <c r="L85" i="17"/>
  <c r="H85" i="17"/>
  <c r="J85" i="17"/>
  <c r="L16" i="17"/>
  <c r="H16" i="17"/>
  <c r="D16" i="17"/>
  <c r="D84" i="17"/>
  <c r="F16" i="17"/>
  <c r="J16" i="17"/>
  <c r="F84" i="17"/>
  <c r="L84" i="17"/>
  <c r="H84" i="17"/>
  <c r="J84" i="17"/>
  <c r="J21" i="17"/>
  <c r="F21" i="17"/>
  <c r="D21" i="17"/>
  <c r="D89" i="17"/>
  <c r="H21" i="17"/>
  <c r="L21" i="17"/>
  <c r="H89" i="17"/>
  <c r="F89" i="17"/>
  <c r="J89" i="17"/>
  <c r="L89" i="17"/>
  <c r="J19" i="17"/>
  <c r="F19" i="17"/>
  <c r="D87" i="17"/>
  <c r="H19" i="17"/>
  <c r="L19" i="17"/>
  <c r="D19" i="17"/>
  <c r="J87" i="17"/>
  <c r="H87" i="17"/>
  <c r="F87" i="17"/>
  <c r="L87" i="17"/>
  <c r="D42" i="24"/>
  <c r="M24" i="24" s="1"/>
  <c r="L18" i="17"/>
  <c r="H18" i="17"/>
  <c r="D18" i="17"/>
  <c r="D86" i="17"/>
  <c r="F18" i="17"/>
  <c r="J18" i="17"/>
  <c r="F86" i="17"/>
  <c r="L86" i="17"/>
  <c r="H86" i="17"/>
  <c r="J86" i="17"/>
  <c r="I13" i="24" l="1"/>
  <c r="I20" i="24" s="1"/>
  <c r="D20" i="24"/>
  <c r="M25" i="24" s="1"/>
  <c r="M26" i="24" s="1"/>
  <c r="L28" i="24" s="1"/>
  <c r="D19" i="7"/>
  <c r="C51" i="7" s="1"/>
  <c r="I12" i="7"/>
  <c r="I19" i="7" l="1"/>
  <c r="G26" i="7"/>
  <c r="D26" i="7" s="1"/>
  <c r="C32" i="7" l="1"/>
  <c r="E32" i="7" s="1"/>
  <c r="C33" i="7"/>
  <c r="E33" i="7" s="1"/>
  <c r="C29" i="7"/>
  <c r="E29" i="7" s="1"/>
  <c r="C30" i="7"/>
  <c r="C35" i="7"/>
  <c r="C34" i="7"/>
  <c r="E34" i="7" s="1"/>
  <c r="C31" i="7"/>
  <c r="E31" i="7" s="1"/>
  <c r="E35" i="7" l="1"/>
  <c r="B25" i="17"/>
  <c r="B93" i="17"/>
  <c r="E30" i="7"/>
  <c r="E36" i="7" l="1"/>
  <c r="D40" i="7" s="1"/>
  <c r="D47" i="7" s="1"/>
  <c r="C52" i="7" s="1"/>
  <c r="C53" i="7" s="1"/>
  <c r="D83" i="17"/>
  <c r="D90" i="17" s="1"/>
  <c r="F83" i="17"/>
  <c r="F90" i="17" s="1"/>
  <c r="L83" i="17"/>
  <c r="L90" i="17" s="1"/>
  <c r="F98" i="17" s="1"/>
  <c r="H83" i="17"/>
  <c r="H90" i="17" s="1"/>
  <c r="F96" i="17" s="1"/>
  <c r="J83" i="17"/>
  <c r="J90" i="17" s="1"/>
  <c r="F97" i="17" s="1"/>
  <c r="J15" i="17"/>
  <c r="J22" i="17" s="1"/>
  <c r="F28" i="17" s="1"/>
  <c r="F15" i="17"/>
  <c r="F22" i="17" s="1"/>
  <c r="D15" i="17"/>
  <c r="D22" i="17" s="1"/>
  <c r="H15" i="17"/>
  <c r="H22" i="17" s="1"/>
  <c r="F27" i="17" s="1"/>
  <c r="L15" i="17"/>
  <c r="L22" i="17" s="1"/>
  <c r="F29" i="17" s="1"/>
  <c r="I98" i="17" l="1"/>
  <c r="F103" i="17"/>
  <c r="H29" i="17"/>
  <c r="I29" i="17" s="1"/>
  <c r="H27" i="17"/>
  <c r="H32" i="17" s="1"/>
  <c r="H28" i="17"/>
  <c r="I97" i="17"/>
  <c r="F102" i="17"/>
  <c r="H103" i="17"/>
  <c r="H102" i="17"/>
  <c r="H101" i="17"/>
  <c r="G102" i="17"/>
  <c r="I96" i="17"/>
  <c r="G103" i="17"/>
  <c r="F101" i="17"/>
  <c r="G101" i="17"/>
  <c r="F33" i="17" l="1"/>
  <c r="G33" i="17"/>
  <c r="F32" i="17"/>
  <c r="I103" i="17"/>
  <c r="F34" i="17"/>
  <c r="H33" i="17"/>
  <c r="H34" i="17"/>
  <c r="I28" i="17"/>
  <c r="I102" i="17"/>
  <c r="G34" i="17"/>
  <c r="I101" i="17"/>
  <c r="I27" i="17"/>
  <c r="G32" i="17"/>
  <c r="I33" i="17" l="1"/>
  <c r="I32" i="17"/>
  <c r="I34" i="17"/>
</calcChain>
</file>

<file path=xl/sharedStrings.xml><?xml version="1.0" encoding="utf-8"?>
<sst xmlns="http://schemas.openxmlformats.org/spreadsheetml/2006/main" count="440" uniqueCount="239">
  <si>
    <t>Sekajäte</t>
  </si>
  <si>
    <t>Biojäte</t>
  </si>
  <si>
    <t>Metalli</t>
  </si>
  <si>
    <t>Paperi</t>
  </si>
  <si>
    <t>Muovi</t>
  </si>
  <si>
    <t xml:space="preserve">Paperi </t>
  </si>
  <si>
    <t>Uudet hinnat</t>
  </si>
  <si>
    <t>hide this</t>
  </si>
  <si>
    <t>Palvelutasot</t>
  </si>
  <si>
    <t>Astiakoko seka ja bio</t>
  </si>
  <si>
    <t>Lasi ja metalli</t>
  </si>
  <si>
    <t>Paperi ja pahvi</t>
  </si>
  <si>
    <t>-</t>
  </si>
  <si>
    <t>Kerrostalo</t>
  </si>
  <si>
    <t>Rivitalo</t>
  </si>
  <si>
    <t>Omakotitalo</t>
  </si>
  <si>
    <t>Käsittely</t>
  </si>
  <si>
    <t>Lasipakkaukset</t>
  </si>
  <si>
    <t>Kartonkipakkaukset</t>
  </si>
  <si>
    <t>Muovipakkaukset</t>
  </si>
  <si>
    <t>€/tn</t>
  </si>
  <si>
    <t>140 l pinta-astia</t>
  </si>
  <si>
    <t>240 l pinta-astia</t>
  </si>
  <si>
    <t>360 l pinta-astia</t>
  </si>
  <si>
    <t>660 l pinta-astia</t>
  </si>
  <si>
    <t>4 m^3 pikakontti</t>
  </si>
  <si>
    <t>6 m^3 pikakontti</t>
  </si>
  <si>
    <t>8 m^3 pikakontti</t>
  </si>
  <si>
    <t>10 m^3 pikakontti</t>
  </si>
  <si>
    <t>300 l syväsäiliö</t>
  </si>
  <si>
    <t>500 l syväsäiliö</t>
  </si>
  <si>
    <t>800 l syväsäiliö</t>
  </si>
  <si>
    <t>1,3 m^3 syväsäiliö</t>
  </si>
  <si>
    <t>3 m^3 syväsäiliö</t>
  </si>
  <si>
    <t>5 m^3 syväsäiliö</t>
  </si>
  <si>
    <t>hide</t>
  </si>
  <si>
    <t>Omakotitalo (K)</t>
  </si>
  <si>
    <t>Lajittelutehokkuus</t>
  </si>
  <si>
    <t>€</t>
  </si>
  <si>
    <t>Käsittelyn kustannukset (jäteyhtiölle)</t>
  </si>
  <si>
    <t>Yhteensä</t>
  </si>
  <si>
    <t xml:space="preserve">Sekajätteen koostumus </t>
  </si>
  <si>
    <t>Taso A</t>
  </si>
  <si>
    <t>Taso B</t>
  </si>
  <si>
    <t>Taso C</t>
  </si>
  <si>
    <t>Taso D</t>
  </si>
  <si>
    <t>Taso E</t>
  </si>
  <si>
    <t>Taso F</t>
  </si>
  <si>
    <t>Taso G</t>
  </si>
  <si>
    <t>Asumismuodot</t>
  </si>
  <si>
    <t>Asukkaita/kiinteistö</t>
  </si>
  <si>
    <t xml:space="preserve">Kiint. lkm </t>
  </si>
  <si>
    <t>Operatiiviset kustannukset</t>
  </si>
  <si>
    <t>Kustannukset</t>
  </si>
  <si>
    <t>Subvention jälkeen</t>
  </si>
  <si>
    <t>=&gt;</t>
  </si>
  <si>
    <t>ratk. a yhtälöstä=&gt;</t>
  </si>
  <si>
    <t>Yhteenveto</t>
  </si>
  <si>
    <t>m_n SEKAJÄTTEEN kertymä</t>
  </si>
  <si>
    <t>Sekajätteen hinta*kertymä (€)</t>
  </si>
  <si>
    <t>Määräytyvät palvelutason mukaan</t>
  </si>
  <si>
    <t>Yksikköhinnat ja -kustannukset</t>
  </si>
  <si>
    <t>Keräyslajien määrät (n)</t>
  </si>
  <si>
    <t>Tulot (subvention jälkeen)</t>
  </si>
  <si>
    <t>Kuvaajat</t>
  </si>
  <si>
    <t>Palvelutaso</t>
  </si>
  <si>
    <t>Asukkaita</t>
  </si>
  <si>
    <t>Vertailukiinteistön kokonaisvuosikustannus</t>
  </si>
  <si>
    <t>Käsittely (€)</t>
  </si>
  <si>
    <t>Sekajätteen kokonaiskustannus:</t>
  </si>
  <si>
    <t>Kulmakerroin</t>
  </si>
  <si>
    <t>b = alin hinta</t>
  </si>
  <si>
    <t>h = hinta</t>
  </si>
  <si>
    <t>Kulj.keräys (1-subv%)*kk</t>
  </si>
  <si>
    <t>käsittely (1-subv%)*käs</t>
  </si>
  <si>
    <t>kulj.keräys subv%*kk</t>
  </si>
  <si>
    <t>käsittely subv%*käs</t>
  </si>
  <si>
    <t>Syötä alin hinta</t>
  </si>
  <si>
    <t xml:space="preserve">Kustannukset </t>
  </si>
  <si>
    <t>Tulot uusilla maksuilla</t>
  </si>
  <si>
    <t>Tarkistus: Kattavatko uudet hinnat kustannukset?</t>
  </si>
  <si>
    <t>Kustannukset - tulot</t>
  </si>
  <si>
    <t>h(1)*m_1+…+h(7)*m_7 = skk</t>
  </si>
  <si>
    <t>(a(1-1)+b)*m_1+…+ (a(7-1)+b)*m_7 = skk</t>
  </si>
  <si>
    <t>a*0*m_1+b*m_1+…+a*6*m_7+b*m_7 = skk</t>
  </si>
  <si>
    <t>a(0*m_1+1*m_2+…+6*m_7) + b(m_1+…+m_7) = skk</t>
  </si>
  <si>
    <t>a = (skk - b(m_1+…+m_7))/(0*m_1+1*m_2+…+6*m_7)</t>
  </si>
  <si>
    <t>Kokonaiskustannukset</t>
  </si>
  <si>
    <t>Käsittely (%)</t>
  </si>
  <si>
    <t>LAJITEHO-laskuri</t>
  </si>
  <si>
    <t>Operatiiviset-välilehti</t>
  </si>
  <si>
    <t>kustannukset</t>
  </si>
  <si>
    <t>Palvelutasot-välilehti</t>
  </si>
  <si>
    <t>Välilehti laskee oletuskertymien avulla tasokohtaiset jätemäärät.</t>
  </si>
  <si>
    <t>Käsittely-välilehti</t>
  </si>
  <si>
    <t>Uudet hinnat-välilehti</t>
  </si>
  <si>
    <t>Yleistä</t>
  </si>
  <si>
    <t>a = kulmakerroin (tuntematon)</t>
  </si>
  <si>
    <t>Yhtälö, josta ratkaistaan kulmakerroin</t>
  </si>
  <si>
    <t>skk = sekajätteen kokonaiskustannus sisältäen subventio-osuudet</t>
  </si>
  <si>
    <t>Sekajätteen hinta tasolla 7:</t>
  </si>
  <si>
    <t xml:space="preserve">Jätelajien määrät </t>
  </si>
  <si>
    <t>1 kpl</t>
  </si>
  <si>
    <t>Kustannus</t>
  </si>
  <si>
    <t>100 % lajitteluteholla</t>
  </si>
  <si>
    <t xml:space="preserve">Hinnat subvention jälkeen </t>
  </si>
  <si>
    <t>60 % lajitteluteholla</t>
  </si>
  <si>
    <t>40 % lajitteluteholla</t>
  </si>
  <si>
    <t>80 % lajitteluteholla</t>
  </si>
  <si>
    <t>Lisätietoja: hinnan muodostuminen</t>
  </si>
  <si>
    <t xml:space="preserve">Tällä välilehdellä valitaan palvelutasot. </t>
  </si>
  <si>
    <t>Lähteet</t>
  </si>
  <si>
    <t>Lähde: KIVO (2017)</t>
  </si>
  <si>
    <t>Erotus</t>
  </si>
  <si>
    <t>Oletukset</t>
  </si>
  <si>
    <t>Oletukset-välilehdeltä</t>
  </si>
  <si>
    <t>Jätelajien käsittelykustannukset eri lajittelutehokkuksilla</t>
  </si>
  <si>
    <t>2 (sekajäte ja biojäte)</t>
  </si>
  <si>
    <t>Sekajätteen hinta tasolla 2:</t>
  </si>
  <si>
    <t>Uudet hinnat, oma hinnanmääritys</t>
  </si>
  <si>
    <t>Välilehdelle tuodaan kustannustiedot muilta välilehdiltä, ja subventioasteen avulla voi syöttää sekajätteelle uudet palvelutasokohtaiset hinnat.</t>
  </si>
  <si>
    <t>Tyhjennykset</t>
  </si>
  <si>
    <t>Jätelaji</t>
  </si>
  <si>
    <t>660 l</t>
  </si>
  <si>
    <t>240 l</t>
  </si>
  <si>
    <t>140 l</t>
  </si>
  <si>
    <t>Tyhjennyksen yksikköhinta (€/tn)</t>
  </si>
  <si>
    <t>Kiinteistön jäteastiat (1 kpl / jätelaji)</t>
  </si>
  <si>
    <t>Vuosikustannus (€)</t>
  </si>
  <si>
    <t>Tyhjennyksiä/vuosi (kpl)</t>
  </si>
  <si>
    <t>Astiakoko</t>
  </si>
  <si>
    <t xml:space="preserve">Lyhenteet </t>
  </si>
  <si>
    <t>t = tonni, 1 t = 1000 kg</t>
  </si>
  <si>
    <t>ast = astia</t>
  </si>
  <si>
    <t>Tyhjennykset vuodessa (kpl)</t>
  </si>
  <si>
    <t>t</t>
  </si>
  <si>
    <t>Kokonaiskertymä (t)</t>
  </si>
  <si>
    <t>Sekajätteen osuus (t)</t>
  </si>
  <si>
    <t>Asukkaita yht.</t>
  </si>
  <si>
    <t>Yht.</t>
  </si>
  <si>
    <t>€/t</t>
  </si>
  <si>
    <t>Sekajätteen alin hinta (€/t)</t>
  </si>
  <si>
    <t>Sekajätekertymä palvelutasoittain (t)</t>
  </si>
  <si>
    <t>Sekajätteen hinta (€/t)</t>
  </si>
  <si>
    <t>Syötä sekajätteen hinta (€/t)</t>
  </si>
  <si>
    <t>3 m^3</t>
  </si>
  <si>
    <t>Käsittelyn kust. €</t>
  </si>
  <si>
    <t>Operatiiviset kust. €</t>
  </si>
  <si>
    <t>Muut kustannukset €</t>
  </si>
  <si>
    <t>Sama kuin yllä mutta prosenteissa</t>
  </si>
  <si>
    <t>*Subventiolla</t>
  </si>
  <si>
    <t>Subventoitu</t>
  </si>
  <si>
    <t>Tulot</t>
  </si>
  <si>
    <t>Menot</t>
  </si>
  <si>
    <t>Tyhjennyksen yksikköhinta (€/t)*</t>
  </si>
  <si>
    <t>Asukkaiden lajitteluaktiivisuus</t>
  </si>
  <si>
    <t>Uudet hinnat-oma hinnanmääritys</t>
  </si>
  <si>
    <t>Tällä välilehdellä on vertailukiinteistöjen (kerrostalo ja omakotitalo) vuosimaksut eriteltynä.</t>
  </si>
  <si>
    <t>Oletusarvot-välilehti</t>
  </si>
  <si>
    <t>[1] KIVO Suomen Kiertovoima: Tietoa kotitalouksien jätehuollosta 2017</t>
  </si>
  <si>
    <t xml:space="preserve">       http://kivo.fi/wp-content/uploads/KIVO-jatemaksut2017.pdf</t>
  </si>
  <si>
    <t>Oletetaan, että hinta on lineaarinen palvelutason funktio, h(n) = a(n-1) + b</t>
  </si>
  <si>
    <t>n = palvelutaso</t>
  </si>
  <si>
    <t>Esimerkki 1: kerrostalo</t>
  </si>
  <si>
    <t>Esimerkki 2: omakotitalo</t>
  </si>
  <si>
    <t>Palvelutaso (n)</t>
  </si>
  <si>
    <t xml:space="preserve">    Tämä kohta ei vaikuta laskentaan, joten sen voi myös jättää täyttämättä.</t>
  </si>
  <si>
    <t>Ohje</t>
  </si>
  <si>
    <t>Astiamäärä alueella (kpl)</t>
  </si>
  <si>
    <t>Astia</t>
  </si>
  <si>
    <t>Yht. (t)</t>
  </si>
  <si>
    <r>
      <t>Hinnan funktio</t>
    </r>
    <r>
      <rPr>
        <sz val="11"/>
        <color theme="1"/>
        <rFont val="Calibri"/>
        <family val="2"/>
        <scheme val="minor"/>
      </rPr>
      <t xml:space="preserve"> </t>
    </r>
  </si>
  <si>
    <t>p(n) = a(n-1) + b,</t>
  </si>
  <si>
    <t>jossa p on hinta, n on keräyslajien määrä, a on kulmakerroin ja b on alin hinta.</t>
  </si>
  <si>
    <t>Aino Ukkonen, Suomen ympäristökeskus</t>
  </si>
  <si>
    <t>Subventioaste</t>
  </si>
  <si>
    <t>Yksikkö-kustannukset (€/t)</t>
  </si>
  <si>
    <t>Määrät yhteensä</t>
  </si>
  <si>
    <t>Laskuri pohjautuu KIVO:n oletuskertymiin ja sekajätteen koostumustietoihin (2017) [1].</t>
  </si>
  <si>
    <t>Laskuri laskee vuosikustannusten mukaan sekajätteelle painoperusteiset hinnat kiinteistön lajittelumahdollisuuksien (=palvelutason) mukaan.</t>
  </si>
  <si>
    <t>Lisäksi kiinteistöt, joilla on yhtä monta lajitteluvaihtoehtoa, niputetaan yhteen ja ovat siten samaa palvelutasoa.</t>
  </si>
  <si>
    <t>7 (kaikki jakeet)</t>
  </si>
  <si>
    <t>v = vuosi</t>
  </si>
  <si>
    <t>hlö = henkilö / asukas</t>
  </si>
  <si>
    <t xml:space="preserve">Jos jätelaitoksellanne on tarkempaa tietoa toimialueen jätekertymistä, kannattaa ne kirjata valtakunnallisten lukujen tilalle. </t>
  </si>
  <si>
    <t>Tälle välilehdelle tuodaan kustannustiedot muilta välilehdiltä, ja subventioasteen eli tukiasteen avulla lasketaan sekajätteelle uudet palvelutasokohtaiset hinnat.</t>
  </si>
  <si>
    <t>Kierrätettävien jakeiden osuudet (kg)</t>
  </si>
  <si>
    <t>Subvention jälkeiset yksikköhinnat (€/t)</t>
  </si>
  <si>
    <t>*lajittelutehokkuuden lasku edellyttää kierrätettävien jätteiden viemistä kierrätyspisteisiin</t>
  </si>
  <si>
    <t>Tallentakaa tästä työkirjasta tietokoneellenne oma kopio (Save As/Tallenna nimellä-toiminto) ja säästäkää alkuperäinen versio oletusluvuilla, sillä oletuslukuja voi tarvita tulevaisuudessa.</t>
  </si>
  <si>
    <t>Jotta uudet hinnat voidaan laskea, täytyy tiedossanne olla operatiiviset kustannukset, talotyypit kyseisellä alueella, asukasmäärät kiinteistöissä, sekä käsittelyn kustannukset.</t>
  </si>
  <si>
    <t>1. Valitkaa astiatyypit.</t>
  </si>
  <si>
    <t xml:space="preserve">2. Merkitkää kuinka monta kappaletta kyseistä astiatyyppiä on alueella. </t>
  </si>
  <si>
    <t>3. Syöttäkää tyhjennysten määrä per vuosi.</t>
  </si>
  <si>
    <t xml:space="preserve">     Syöttäkää jokaiseen valitun palvelutason taulukkoon</t>
  </si>
  <si>
    <t>a. kerrostalojen lukumäärä ja asukkaiden keskiarvolukumäärä per kerrostalokiinteistö.</t>
  </si>
  <si>
    <t>b. rivitalojen lukumäärämäärä ja asukkaiden keskiarvolukumäärä per rivitalokiinteistö.</t>
  </si>
  <si>
    <t xml:space="preserve">c. omakotitalokiinteistöjen (ilman kotikompostointia) määrä ja asukkaiden keskiarvolukumäärä per kiinteistö. </t>
  </si>
  <si>
    <t xml:space="preserve">d. kompostoivien omakotitalokiinteistöjen (K = kotikompostoinnilla) määrä ja asukkaiden keskiarvolukumäärä per kiinteistö. </t>
  </si>
  <si>
    <t>Hinta määrittyy lineaarisen kaavan mukaan syöttämänne alimman hinnan perusteella.</t>
  </si>
  <si>
    <t>2. Syöttäkää myös sekajätteen halvin €/t-hinta. Tämä tulee olemaan ensimmäisen palvelutason sekajätehinta, ja muiden palvelutasojen hinnat lasketaan tämän perusteella.</t>
  </si>
  <si>
    <t>Huomioikaa, että kaikki hinnat ja kulut on esitetty laskurissa ilman ALV:a!</t>
  </si>
  <si>
    <t xml:space="preserve">    Subvention jälkeiset tulot näkyvät hinnanmuodostumisen alla.</t>
  </si>
  <si>
    <t xml:space="preserve">    Solussa M26 näkyy balanssi, joka kertoo, kun tulot eivät kata menoja tai päinvastoin.</t>
  </si>
  <si>
    <t>2. Jokaisella valitulla palvelutasolla; arvioikaa kiinteistöjen määrä ja asukkaiden määrä per kiinteistö. Tässä kohtaa voi ottaa mallia KIVO:n määritelmästä kiinteistöjen tyypistä [1], katso kuva alla.</t>
  </si>
  <si>
    <t>1. Mitä eri yhdistelmiä toimialueellanne on? Listatkaa ne, ja rastittakaa ruudut sen mukaan, mitä eri lajitteluvaihtoehtojen yhdistelmiä toimialueella on. Yksi taso = yksi yhdistelmä.</t>
  </si>
  <si>
    <t>Jos haluatte muokata "Perusmaksuosuus ja ALV"-osuutta kuvaajissa, niin valitkaa piilotetut rivit (11-45 ja 80-103) maalaamalla rivit 10-46 ja 79-104.</t>
  </si>
  <si>
    <t>Huom: syöttäkää kustannukset ilman arvonlisäveroa (ALV)</t>
  </si>
  <si>
    <t>Tulot vs. menot (€)</t>
  </si>
  <si>
    <t xml:space="preserve">    Esim. jos kyseistä astiaa on alueella 100 ja jokainen tyhjennetään 12 kertaa vuodessa, soluun syötetään 1200.</t>
  </si>
  <si>
    <t xml:space="preserve">Tälle välilehdelle täytetään operatiiviset kustannukset eli keräyksen ja kuljetuksen kustannukset. </t>
  </si>
  <si>
    <t>Keräyksen ja kuljetuksen kustannus (€/ast/tyhjennys)</t>
  </si>
  <si>
    <t>Keräys ja kuljetus (€)</t>
  </si>
  <si>
    <t>Keräys ja kuljetus (%)</t>
  </si>
  <si>
    <r>
      <t xml:space="preserve">Syöttäkää jätelaitosta ja sen toimialuetta koskevat tiedot </t>
    </r>
    <r>
      <rPr>
        <b/>
        <sz val="11"/>
        <color theme="1"/>
        <rFont val="Calibri"/>
        <family val="2"/>
        <scheme val="minor"/>
      </rPr>
      <t>valkoisiin</t>
    </r>
    <r>
      <rPr>
        <sz val="11"/>
        <color theme="1"/>
        <rFont val="Calibri"/>
        <family val="2"/>
        <scheme val="minor"/>
      </rPr>
      <t xml:space="preserve"> soluihin. Muihin soluihin ei syötetä tietoa.</t>
    </r>
  </si>
  <si>
    <t>Tällä välilehdellä jätelaitos voi itse määrittää sekajätteen palvelutasokohtaiset hinnat. Solussa M18 näet, miten tulot uusilla hinnoilla kattavat kustannukset.</t>
  </si>
  <si>
    <t>2. Soluihin C24-C30 jätelaitos voi syöttää omia €/t-hintoja sekajätteelle, ja tarkistaa jos kulut kattavat menot valitsemillaan hinnoilla.</t>
  </si>
  <si>
    <t>Kun rivit on maalattu, oikeaklikatkaa hiirellä ja valitkaa "Näytä". Kirjoittakaa sitten valkoisiin soluihin ("Muut kustannukset" soluissa H27-H29 ja H96-H98) jätelaitoksenne omat tiedot.</t>
  </si>
  <si>
    <t>Tälle välilehdelle syötetään käsittelyn kustannukset jätelaitokselle (€/t). Syöttäkää jätelajikohtaiset jätteenkäsittelykustannukset.</t>
  </si>
  <si>
    <t>Tällä välilehdellä on valtakunnalliset oletusarvot jätekertymistä, kierrätettävien jätelajien osuudet oletuskertymistä ja sekajätteen koostumuksesta, sekä jätelajien nimitykset.</t>
  </si>
  <si>
    <t>Jokaisen jätelajin kohdalla:</t>
  </si>
  <si>
    <t>1. Syöttäkää kierrätettävien jätelajien subventioasteet prosentteina 0-100 %. Subventioaste määrittää miten paljon kierrätettävän jätelajin kustannuksista katetaan sekajätteen hinnalla.</t>
  </si>
  <si>
    <t>1. Syöttäkää kierrätettävien jätelajien subventioasteet prosentteina 0-100 %. Subventioaste määrittää kuinka suuri osa kierrätettävän jätelajin kustannuksista katetaan sekajätteen hinnalla.</t>
  </si>
  <si>
    <t xml:space="preserve">    Keräystä ja kuljetusta, sekä käsittelyä voi subventoida, mutta jos kierrätettävien lajien käsittely on jo 0 €, subventiolla ei ole merkitystä. </t>
  </si>
  <si>
    <t>Tämä laskuri ei mallinna astiamaksuja, astiapesuja, perusmaksua eikä hallinnollisia kuluja tai maksuja. Näitä tietoja ei myöskään syötetä laskuriin.</t>
  </si>
  <si>
    <t>Oletuksena on, että kiinteistötyyppi vaikuttaa kokonaisjätemäärään, mutta ei erilliskerättyjen kierrätettävien jätelajien määrään [1].</t>
  </si>
  <si>
    <t>Painoperusteiset hinnat lasketaan siten, että uusi hinnoittelu kattaa sekä operatiiviset (kuljetuksen ja keräyksen) että käsittelyn kustannukset.</t>
  </si>
  <si>
    <t>4. Syöttäkää keräyksen ja kuljetuksen astiakohtainen tyhjennyskustannus jätelaitokselle ilman ALV:a.</t>
  </si>
  <si>
    <t>Oletusarvot ovat peräisin KIVO:n kotitalouksien jätemaksuraportista (2017).</t>
  </si>
  <si>
    <t>Kiinteistölle tarjottavien lajitteluvaihtoehtojen määrä määrittää kiinteistön palvelutason. Esimerkiksi kaikki kiinteistöt, joilla on seka- ja biojäteastiat kuuluvat palvelutasolle 2 (solut L38-L44).</t>
  </si>
  <si>
    <t>Huomioikaa, että kartonkipakkauksilla, metallipakkauksilla, lasipakkauksilla, paperilla ja muovipakkauksilla hinta on oletusarvoisesti 0 €/t, koska jätelajit kuuluvat tuottajavastuun piiriin.</t>
  </si>
  <si>
    <t>Jos jostakin jätelajista saakin tuloja (kuten metallista voi saada), merkitään tulot (€/t) soluun miinusmerkillä.</t>
  </si>
  <si>
    <t>Muuttakaa jätelajien nimiä, jos on tarpeen.</t>
  </si>
  <si>
    <t>Kierrätettävä jätelaji</t>
  </si>
  <si>
    <t>LAJITEHO-laskuri laskee painoperusteiset hinnat kotitalouksien sekajätteelle ja kierrätettäville jätelajeille. Laskurin perustana on taloudellisen ohjauksen hinnoittelumalli, jonka tarkoituksena on lisätä kotitalousjätteiden syntypaikkalajittelun tehokkuutta. Mallissa sekajätteen hinnoittelu sidotaan kiinteistölle tarjottavaan palvelutasoon, eli lajitteluvaihtoehtojen määrään. Sekajätteen käsittelymaksuosuudella subventoidaan eli tuetaan kierrätettävien jätelajien käsittelyn, keräyksen ja kuljetuksen kuluja. Malli laskee uudet hinnat niin, että uusilla hinnoilla katetaan jätteiden keräyksen, kuljetuksen ja käsittelyn kustannukset.</t>
  </si>
  <si>
    <t>(%)</t>
  </si>
  <si>
    <t xml:space="preserve">Kierrätettävien jakeiden osuudet oletuskertymästä (kg/hlö/vuosi) </t>
  </si>
  <si>
    <t>Oletuskertymä vuodessa (kg/hlö/vuosi)</t>
  </si>
  <si>
    <t>Huom! LAJITEHO-laskuri on työkalu, jota voi käyttää jätemaksulaskennan tukena. Suomen ympäristökeskus SYKE ei vastaa tuloksien soveltamisesta eikä lopullisen jätemaksun muodostamisen seurauksista. Jätemaksun muodostamisen käytännöt vaihtelevat kunnasta ja jätelaitoksesta riippuen, eikä laskin välttämättä huomioi kaikkien käyttäjien yksilöllisiä tarpeita. Käyttäjä on siksi lopulta vastuussa jätemaksun toimivuudesta.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</si>
</sst>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
    <numFmt numFmtId="165" formatCode="0.0"/>
    <numFmt numFmtId="166" formatCode="#,##0.0"/>
    <numFmt numFmtId="167" formatCode="0.00000"/>
  </numFmts>
  <fonts count="14" x14ac:knownFonts="1">
    <font>
      <sz val="11"/>
      <color theme="1"/>
      <name val="Calibri"/>
      <family val="2"/>
      <scheme val="minor"/>
    </font>
    <font>
      <b/>
      <sz val="11"/>
      <color theme="1"/>
      <name val="Calibri"/>
      <family val="2"/>
      <scheme val="minor"/>
    </font>
    <font>
      <b/>
      <sz val="11"/>
      <color theme="4" tint="-0.249977111117893"/>
      <name val="Calibri"/>
      <family val="2"/>
      <scheme val="minor"/>
    </font>
    <font>
      <sz val="11"/>
      <color theme="4" tint="-0.249977111117893"/>
      <name val="Calibri"/>
      <family val="2"/>
      <scheme val="minor"/>
    </font>
    <font>
      <sz val="11"/>
      <color rgb="FFFF0000"/>
      <name val="Calibri"/>
      <family val="2"/>
      <scheme val="minor"/>
    </font>
    <font>
      <b/>
      <sz val="16"/>
      <color theme="1"/>
      <name val="Calibri"/>
      <family val="2"/>
      <scheme val="minor"/>
    </font>
    <font>
      <sz val="14"/>
      <color theme="1"/>
      <name val="Calibri"/>
      <family val="2"/>
      <scheme val="minor"/>
    </font>
    <font>
      <b/>
      <sz val="26"/>
      <color theme="1"/>
      <name val="Calibri"/>
      <family val="2"/>
      <scheme val="minor"/>
    </font>
    <font>
      <sz val="1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i/>
      <sz val="11"/>
      <color theme="1"/>
      <name val="Calibri"/>
      <family val="2"/>
      <scheme val="minor"/>
    </font>
    <font>
      <b/>
      <sz val="10"/>
      <color theme="1"/>
      <name val="Arial"/>
      <family val="2"/>
    </font>
  </fonts>
  <fills count="12">
    <fill>
      <patternFill patternType="none"/>
    </fill>
    <fill>
      <patternFill patternType="gray125"/>
    </fill>
    <fill>
      <patternFill patternType="solid">
        <fgColor theme="8" tint="0.79998168889431442"/>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79998168889431442"/>
        <bgColor indexed="64"/>
      </patternFill>
    </fill>
  </fills>
  <borders count="17">
    <border>
      <left/>
      <right/>
      <top/>
      <bottom/>
      <diagonal/>
    </border>
    <border>
      <left/>
      <right/>
      <top/>
      <bottom style="thin">
        <color indexed="64"/>
      </bottom>
      <diagonal/>
    </border>
    <border>
      <left/>
      <right/>
      <top/>
      <bottom style="thin">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double">
        <color indexed="64"/>
      </bottom>
      <diagonal/>
    </border>
    <border>
      <left/>
      <right/>
      <top style="thin">
        <color indexed="64"/>
      </top>
      <bottom style="double">
        <color indexed="64"/>
      </bottom>
      <diagonal/>
    </border>
    <border>
      <left/>
      <right/>
      <top style="thin">
        <color indexed="64"/>
      </top>
      <bottom style="thin">
        <color indexed="64"/>
      </bottom>
      <diagonal/>
    </border>
  </borders>
  <cellStyleXfs count="1">
    <xf numFmtId="0" fontId="0" fillId="0" borderId="0"/>
  </cellStyleXfs>
  <cellXfs count="250">
    <xf numFmtId="0" fontId="0" fillId="0" borderId="0" xfId="0"/>
    <xf numFmtId="0" fontId="0" fillId="2" borderId="0" xfId="0" applyFill="1"/>
    <xf numFmtId="0" fontId="1" fillId="2" borderId="0" xfId="0" applyFont="1" applyFill="1"/>
    <xf numFmtId="0" fontId="0" fillId="2" borderId="0" xfId="0" applyFill="1" applyAlignment="1">
      <alignment horizontal="center"/>
    </xf>
    <xf numFmtId="0" fontId="0" fillId="2" borderId="0" xfId="0" applyFont="1" applyFill="1" applyBorder="1" applyAlignment="1">
      <alignment horizontal="center"/>
    </xf>
    <xf numFmtId="0" fontId="2" fillId="0" borderId="2" xfId="0" applyFont="1" applyBorder="1"/>
    <xf numFmtId="0" fontId="3" fillId="2" borderId="0" xfId="0" quotePrefix="1" applyFont="1" applyFill="1"/>
    <xf numFmtId="0" fontId="0" fillId="2" borderId="0" xfId="0" applyFill="1" applyAlignment="1">
      <alignment horizontal="left" wrapText="1"/>
    </xf>
    <xf numFmtId="0" fontId="0" fillId="2" borderId="1" xfId="0" applyFill="1" applyBorder="1"/>
    <xf numFmtId="1" fontId="0" fillId="0" borderId="0" xfId="0" applyNumberFormat="1" applyFill="1" applyBorder="1"/>
    <xf numFmtId="1" fontId="0" fillId="0" borderId="1" xfId="0" applyNumberFormat="1" applyFill="1" applyBorder="1"/>
    <xf numFmtId="0" fontId="0" fillId="2" borderId="14" xfId="0" applyFill="1" applyBorder="1"/>
    <xf numFmtId="0" fontId="0" fillId="2" borderId="0" xfId="0" applyFill="1" applyBorder="1"/>
    <xf numFmtId="0" fontId="0" fillId="2" borderId="15" xfId="0" applyFill="1" applyBorder="1"/>
    <xf numFmtId="0" fontId="0" fillId="4" borderId="0" xfId="0" applyFill="1"/>
    <xf numFmtId="0" fontId="0" fillId="4" borderId="0" xfId="0" applyFill="1" applyBorder="1"/>
    <xf numFmtId="0" fontId="1" fillId="4" borderId="0" xfId="0" applyFont="1" applyFill="1" applyBorder="1"/>
    <xf numFmtId="164" fontId="0" fillId="4" borderId="0" xfId="0" applyNumberFormat="1" applyFill="1" applyBorder="1"/>
    <xf numFmtId="0" fontId="5" fillId="2" borderId="0" xfId="0" applyFont="1" applyFill="1"/>
    <xf numFmtId="0" fontId="5" fillId="4" borderId="0" xfId="0" applyFont="1" applyFill="1"/>
    <xf numFmtId="0" fontId="0" fillId="2" borderId="0" xfId="0" applyFill="1" applyBorder="1" applyAlignment="1">
      <alignment wrapText="1"/>
    </xf>
    <xf numFmtId="0" fontId="0" fillId="2" borderId="0" xfId="0" applyFill="1" applyAlignment="1">
      <alignment wrapText="1"/>
    </xf>
    <xf numFmtId="0" fontId="0" fillId="5" borderId="0" xfId="0" applyFill="1"/>
    <xf numFmtId="0" fontId="1" fillId="2" borderId="1" xfId="0" applyFont="1" applyFill="1" applyBorder="1"/>
    <xf numFmtId="0" fontId="0" fillId="2" borderId="4" xfId="0" applyFill="1" applyBorder="1"/>
    <xf numFmtId="0" fontId="0" fillId="2" borderId="8" xfId="0" applyFill="1" applyBorder="1"/>
    <xf numFmtId="0" fontId="0" fillId="2" borderId="11" xfId="0" applyFill="1" applyBorder="1"/>
    <xf numFmtId="0" fontId="0" fillId="2" borderId="9" xfId="0" applyFill="1" applyBorder="1"/>
    <xf numFmtId="0" fontId="0" fillId="2" borderId="12" xfId="0" applyFill="1" applyBorder="1"/>
    <xf numFmtId="0" fontId="0" fillId="2" borderId="13" xfId="0" applyFill="1" applyBorder="1"/>
    <xf numFmtId="0" fontId="1" fillId="5" borderId="1" xfId="0" applyFont="1" applyFill="1" applyBorder="1"/>
    <xf numFmtId="0" fontId="0" fillId="5" borderId="1" xfId="0" applyFill="1" applyBorder="1"/>
    <xf numFmtId="0" fontId="0" fillId="5" borderId="0" xfId="0" applyFill="1" applyBorder="1"/>
    <xf numFmtId="0" fontId="1" fillId="5" borderId="0" xfId="0" applyFont="1" applyFill="1"/>
    <xf numFmtId="0" fontId="1" fillId="5" borderId="1" xfId="0" applyFont="1" applyFill="1" applyBorder="1" applyAlignment="1"/>
    <xf numFmtId="0" fontId="0" fillId="6" borderId="0" xfId="0" applyFill="1" applyBorder="1"/>
    <xf numFmtId="0" fontId="1" fillId="3" borderId="1" xfId="0" applyFont="1" applyFill="1" applyBorder="1"/>
    <xf numFmtId="0" fontId="0" fillId="3" borderId="1" xfId="0" applyFill="1" applyBorder="1"/>
    <xf numFmtId="0" fontId="0" fillId="3" borderId="0" xfId="0" applyFill="1" applyBorder="1"/>
    <xf numFmtId="165" fontId="0" fillId="3" borderId="0" xfId="0" applyNumberFormat="1" applyFill="1" applyBorder="1"/>
    <xf numFmtId="165" fontId="0" fillId="3" borderId="1" xfId="0" applyNumberFormat="1" applyFill="1" applyBorder="1"/>
    <xf numFmtId="0" fontId="0" fillId="3" borderId="0" xfId="0" applyFill="1"/>
    <xf numFmtId="0" fontId="1" fillId="3" borderId="0" xfId="0" applyFont="1" applyFill="1"/>
    <xf numFmtId="0" fontId="1" fillId="3" borderId="0" xfId="0" applyFont="1" applyFill="1" applyAlignment="1">
      <alignment wrapText="1"/>
    </xf>
    <xf numFmtId="0" fontId="0" fillId="3" borderId="4" xfId="0" applyFill="1" applyBorder="1" applyAlignment="1"/>
    <xf numFmtId="165" fontId="0" fillId="3" borderId="4" xfId="0" applyNumberFormat="1" applyFill="1" applyBorder="1"/>
    <xf numFmtId="0" fontId="0" fillId="3" borderId="4" xfId="0" applyFill="1" applyBorder="1"/>
    <xf numFmtId="0" fontId="1" fillId="3" borderId="4" xfId="0" applyFont="1" applyFill="1" applyBorder="1" applyAlignment="1"/>
    <xf numFmtId="0" fontId="1" fillId="3" borderId="1" xfId="0" applyFont="1" applyFill="1" applyBorder="1" applyAlignment="1"/>
    <xf numFmtId="3" fontId="0" fillId="2" borderId="0" xfId="0" applyNumberFormat="1" applyFill="1"/>
    <xf numFmtId="3" fontId="0" fillId="5" borderId="0" xfId="0" applyNumberFormat="1" applyFill="1"/>
    <xf numFmtId="3" fontId="0" fillId="5" borderId="1" xfId="0" applyNumberFormat="1" applyFill="1" applyBorder="1"/>
    <xf numFmtId="1" fontId="0" fillId="5" borderId="0" xfId="0" applyNumberFormat="1" applyFill="1"/>
    <xf numFmtId="166" fontId="0" fillId="2" borderId="0" xfId="0" applyNumberFormat="1" applyFill="1" applyBorder="1"/>
    <xf numFmtId="166" fontId="0" fillId="2" borderId="0" xfId="0" applyNumberFormat="1" applyFill="1"/>
    <xf numFmtId="0" fontId="0" fillId="2" borderId="9" xfId="0" quotePrefix="1" applyFill="1" applyBorder="1" applyAlignment="1">
      <alignment horizontal="right"/>
    </xf>
    <xf numFmtId="166" fontId="0" fillId="2" borderId="1" xfId="0" applyNumberFormat="1" applyFill="1" applyBorder="1"/>
    <xf numFmtId="0" fontId="0" fillId="2" borderId="10" xfId="0" quotePrefix="1" applyFill="1" applyBorder="1" applyAlignment="1">
      <alignment horizontal="right"/>
    </xf>
    <xf numFmtId="4" fontId="0" fillId="2" borderId="0" xfId="0" applyNumberFormat="1" applyFill="1"/>
    <xf numFmtId="0" fontId="0" fillId="5" borderId="1" xfId="0" applyFill="1" applyBorder="1" applyAlignment="1">
      <alignment wrapText="1"/>
    </xf>
    <xf numFmtId="166" fontId="0" fillId="5" borderId="0" xfId="0" applyNumberFormat="1" applyFill="1" applyBorder="1"/>
    <xf numFmtId="166" fontId="0" fillId="5" borderId="0" xfId="0" quotePrefix="1" applyNumberFormat="1" applyFill="1" applyBorder="1" applyAlignment="1">
      <alignment horizontal="right"/>
    </xf>
    <xf numFmtId="0" fontId="0" fillId="5" borderId="1" xfId="0" applyFont="1" applyFill="1" applyBorder="1"/>
    <xf numFmtId="166" fontId="0" fillId="5" borderId="3" xfId="0" applyNumberFormat="1" applyFill="1" applyBorder="1"/>
    <xf numFmtId="0" fontId="0" fillId="5" borderId="0" xfId="0" applyFill="1" applyAlignment="1">
      <alignment wrapText="1"/>
    </xf>
    <xf numFmtId="0" fontId="0" fillId="5" borderId="3" xfId="0" applyFill="1" applyBorder="1" applyAlignment="1">
      <alignment horizontal="center"/>
    </xf>
    <xf numFmtId="166" fontId="0" fillId="5" borderId="10" xfId="0" applyNumberFormat="1" applyFill="1" applyBorder="1"/>
    <xf numFmtId="166" fontId="0" fillId="5" borderId="1" xfId="0" applyNumberFormat="1" applyFill="1" applyBorder="1"/>
    <xf numFmtId="165" fontId="0" fillId="5" borderId="0" xfId="0" quotePrefix="1" applyNumberFormat="1" applyFill="1" applyAlignment="1">
      <alignment horizontal="right"/>
    </xf>
    <xf numFmtId="166" fontId="0" fillId="5" borderId="0" xfId="0" applyNumberFormat="1" applyFill="1"/>
    <xf numFmtId="166" fontId="0" fillId="7" borderId="3" xfId="0" applyNumberFormat="1" applyFill="1" applyBorder="1"/>
    <xf numFmtId="0" fontId="0" fillId="5" borderId="0" xfId="0" applyFont="1" applyFill="1" applyBorder="1"/>
    <xf numFmtId="164" fontId="0" fillId="6" borderId="0" xfId="0" applyNumberFormat="1" applyFill="1" applyBorder="1"/>
    <xf numFmtId="0" fontId="1" fillId="5" borderId="0" xfId="0" applyFont="1" applyFill="1" applyBorder="1" applyAlignment="1">
      <alignment wrapText="1"/>
    </xf>
    <xf numFmtId="0" fontId="1" fillId="5" borderId="0" xfId="0" applyFont="1" applyFill="1" applyBorder="1" applyAlignment="1">
      <alignment horizontal="left" wrapText="1"/>
    </xf>
    <xf numFmtId="0" fontId="0" fillId="5" borderId="11" xfId="0" applyFill="1" applyBorder="1"/>
    <xf numFmtId="165" fontId="0" fillId="5" borderId="11" xfId="0" applyNumberFormat="1" applyFill="1" applyBorder="1" applyAlignment="1">
      <alignment horizontal="center"/>
    </xf>
    <xf numFmtId="0" fontId="0" fillId="5" borderId="12" xfId="0" applyFill="1" applyBorder="1"/>
    <xf numFmtId="165" fontId="0" fillId="5" borderId="12" xfId="0" applyNumberFormat="1" applyFill="1" applyBorder="1" applyAlignment="1">
      <alignment horizontal="center"/>
    </xf>
    <xf numFmtId="0" fontId="0" fillId="5" borderId="13" xfId="0" applyFill="1" applyBorder="1"/>
    <xf numFmtId="165" fontId="0" fillId="5" borderId="13" xfId="0" applyNumberFormat="1" applyFill="1" applyBorder="1" applyAlignment="1">
      <alignment horizontal="center"/>
    </xf>
    <xf numFmtId="165" fontId="0" fillId="5" borderId="4" xfId="0" applyNumberFormat="1" applyFill="1" applyBorder="1" applyAlignment="1"/>
    <xf numFmtId="165" fontId="0" fillId="5" borderId="0" xfId="0" applyNumberFormat="1" applyFill="1" applyAlignment="1">
      <alignment horizontal="center"/>
    </xf>
    <xf numFmtId="0" fontId="0" fillId="2" borderId="0" xfId="0" applyFill="1" applyAlignment="1">
      <alignment horizontal="left"/>
    </xf>
    <xf numFmtId="165" fontId="0" fillId="5" borderId="1" xfId="0" applyNumberFormat="1" applyFill="1" applyBorder="1"/>
    <xf numFmtId="0" fontId="0" fillId="8" borderId="0" xfId="0" applyFill="1"/>
    <xf numFmtId="0" fontId="6" fillId="8" borderId="0" xfId="0" applyFont="1" applyFill="1"/>
    <xf numFmtId="0" fontId="7" fillId="8" borderId="0" xfId="0" applyFont="1" applyFill="1"/>
    <xf numFmtId="0" fontId="5" fillId="8" borderId="0" xfId="0" applyFont="1" applyFill="1"/>
    <xf numFmtId="0" fontId="1" fillId="8" borderId="0" xfId="0" applyFont="1" applyFill="1"/>
    <xf numFmtId="0" fontId="1" fillId="5" borderId="1" xfId="0" applyFont="1" applyFill="1" applyBorder="1" applyAlignment="1">
      <alignment horizontal="right"/>
    </xf>
    <xf numFmtId="0" fontId="1" fillId="5" borderId="1" xfId="0" applyFont="1" applyFill="1" applyBorder="1" applyAlignment="1">
      <alignment wrapText="1"/>
    </xf>
    <xf numFmtId="2" fontId="0" fillId="5" borderId="0" xfId="0" applyNumberFormat="1" applyFill="1"/>
    <xf numFmtId="165" fontId="0" fillId="5" borderId="0" xfId="0" applyNumberFormat="1" applyFill="1"/>
    <xf numFmtId="2" fontId="0" fillId="2" borderId="0" xfId="0" applyNumberFormat="1" applyFill="1"/>
    <xf numFmtId="165" fontId="0" fillId="2" borderId="0" xfId="0" applyNumberFormat="1" applyFill="1"/>
    <xf numFmtId="165" fontId="0" fillId="2" borderId="1" xfId="0" applyNumberFormat="1" applyFill="1" applyBorder="1"/>
    <xf numFmtId="0" fontId="4" fillId="8" borderId="0" xfId="0" applyFont="1" applyFill="1"/>
    <xf numFmtId="165" fontId="0" fillId="8" borderId="0" xfId="0" applyNumberFormat="1" applyFill="1"/>
    <xf numFmtId="2" fontId="0" fillId="8" borderId="0" xfId="0" applyNumberFormat="1" applyFill="1"/>
    <xf numFmtId="0" fontId="1" fillId="2" borderId="0" xfId="0" applyFont="1" applyFill="1" applyBorder="1"/>
    <xf numFmtId="0" fontId="1" fillId="2" borderId="1" xfId="0" applyFont="1" applyFill="1" applyBorder="1" applyAlignment="1">
      <alignment horizontal="right"/>
    </xf>
    <xf numFmtId="9" fontId="0" fillId="5" borderId="0" xfId="0" applyNumberFormat="1" applyFill="1"/>
    <xf numFmtId="0" fontId="0" fillId="2" borderId="1" xfId="0" applyFill="1" applyBorder="1" applyAlignment="1">
      <alignment horizontal="right"/>
    </xf>
    <xf numFmtId="0" fontId="0" fillId="5" borderId="1" xfId="0" applyFill="1" applyBorder="1" applyAlignment="1">
      <alignment horizontal="right"/>
    </xf>
    <xf numFmtId="49" fontId="6" fillId="8" borderId="0" xfId="0" applyNumberFormat="1" applyFont="1" applyFill="1" applyAlignment="1">
      <alignment horizontal="left" vertical="top" wrapText="1"/>
    </xf>
    <xf numFmtId="0" fontId="0" fillId="8" borderId="0" xfId="0" applyFill="1" applyAlignment="1">
      <alignment horizontal="right"/>
    </xf>
    <xf numFmtId="0" fontId="8" fillId="2" borderId="0" xfId="0" applyFont="1" applyFill="1" applyAlignment="1">
      <alignment wrapText="1"/>
    </xf>
    <xf numFmtId="0" fontId="0" fillId="8" borderId="1" xfId="0" applyFill="1" applyBorder="1"/>
    <xf numFmtId="0" fontId="0" fillId="8" borderId="0" xfId="0" applyFill="1" applyAlignment="1"/>
    <xf numFmtId="0" fontId="0" fillId="8" borderId="0" xfId="0" applyFill="1" applyBorder="1"/>
    <xf numFmtId="0" fontId="0" fillId="2" borderId="0" xfId="0" applyFont="1" applyFill="1"/>
    <xf numFmtId="0" fontId="0" fillId="8" borderId="0" xfId="0" applyFont="1" applyFill="1"/>
    <xf numFmtId="0" fontId="0" fillId="5" borderId="7" xfId="0" applyFill="1" applyBorder="1" applyAlignment="1">
      <alignment horizontal="center"/>
    </xf>
    <xf numFmtId="0" fontId="0" fillId="2" borderId="0" xfId="0" quotePrefix="1" applyFill="1" applyBorder="1" applyAlignment="1">
      <alignment horizontal="right"/>
    </xf>
    <xf numFmtId="0" fontId="0" fillId="2" borderId="0" xfId="0" applyFont="1" applyFill="1" applyAlignment="1">
      <alignment horizontal="left" wrapText="1"/>
    </xf>
    <xf numFmtId="166" fontId="1" fillId="2" borderId="0" xfId="0" applyNumberFormat="1" applyFont="1" applyFill="1"/>
    <xf numFmtId="0" fontId="10" fillId="5" borderId="1" xfId="0" applyFont="1" applyFill="1" applyBorder="1"/>
    <xf numFmtId="0" fontId="1" fillId="5" borderId="0" xfId="0" applyFont="1" applyFill="1" applyBorder="1"/>
    <xf numFmtId="0" fontId="1" fillId="5" borderId="16" xfId="0" applyFont="1" applyFill="1" applyBorder="1"/>
    <xf numFmtId="0" fontId="1" fillId="2" borderId="8" xfId="0" applyFont="1" applyFill="1" applyBorder="1"/>
    <xf numFmtId="166" fontId="4" fillId="2" borderId="11" xfId="0" applyNumberFormat="1" applyFont="1" applyFill="1" applyBorder="1"/>
    <xf numFmtId="0" fontId="1" fillId="2" borderId="9" xfId="0" applyFont="1" applyFill="1" applyBorder="1"/>
    <xf numFmtId="0" fontId="1" fillId="3" borderId="1" xfId="0" applyFont="1" applyFill="1" applyBorder="1" applyAlignment="1">
      <alignment horizontal="right"/>
    </xf>
    <xf numFmtId="0" fontId="0" fillId="2" borderId="0" xfId="0" applyFill="1" applyAlignment="1">
      <alignment horizontal="left"/>
    </xf>
    <xf numFmtId="0" fontId="1" fillId="4" borderId="0" xfId="0" applyFont="1" applyFill="1"/>
    <xf numFmtId="0" fontId="0" fillId="4" borderId="0" xfId="0" applyFont="1" applyFill="1" applyAlignment="1">
      <alignment wrapText="1"/>
    </xf>
    <xf numFmtId="0" fontId="1" fillId="4" borderId="0" xfId="0" applyFont="1" applyFill="1" applyBorder="1" applyAlignment="1">
      <alignment wrapText="1"/>
    </xf>
    <xf numFmtId="0" fontId="0" fillId="4" borderId="0" xfId="0" applyFill="1" applyBorder="1" applyAlignment="1">
      <alignment wrapText="1"/>
    </xf>
    <xf numFmtId="0" fontId="1" fillId="6" borderId="1" xfId="0" applyFont="1" applyFill="1" applyBorder="1"/>
    <xf numFmtId="0" fontId="1" fillId="6" borderId="1" xfId="0" applyFont="1" applyFill="1" applyBorder="1" applyAlignment="1">
      <alignment wrapText="1"/>
    </xf>
    <xf numFmtId="0" fontId="0" fillId="6" borderId="1" xfId="0" applyFill="1" applyBorder="1"/>
    <xf numFmtId="0" fontId="5" fillId="8" borderId="0" xfId="0" applyFont="1" applyFill="1" applyBorder="1"/>
    <xf numFmtId="0" fontId="4" fillId="8" borderId="0" xfId="0" applyFont="1" applyFill="1" applyBorder="1"/>
    <xf numFmtId="0" fontId="1" fillId="8" borderId="0" xfId="0" applyFont="1" applyFill="1" applyBorder="1"/>
    <xf numFmtId="0" fontId="0" fillId="8" borderId="0" xfId="0" applyFill="1" applyBorder="1" applyAlignment="1">
      <alignment horizontal="left"/>
    </xf>
    <xf numFmtId="2" fontId="0" fillId="8" borderId="0" xfId="0" applyNumberFormat="1" applyFill="1" applyBorder="1"/>
    <xf numFmtId="0" fontId="0" fillId="9" borderId="1" xfId="0" applyFill="1" applyBorder="1"/>
    <xf numFmtId="0" fontId="0" fillId="9" borderId="0" xfId="0" applyFill="1" applyBorder="1"/>
    <xf numFmtId="0" fontId="0" fillId="10" borderId="1" xfId="0" applyFill="1" applyBorder="1"/>
    <xf numFmtId="0" fontId="0" fillId="10" borderId="0" xfId="0" applyFill="1" applyBorder="1"/>
    <xf numFmtId="166" fontId="0" fillId="6" borderId="0" xfId="0" quotePrefix="1" applyNumberFormat="1" applyFill="1" applyBorder="1" applyAlignment="1">
      <alignment horizontal="right"/>
    </xf>
    <xf numFmtId="166" fontId="0" fillId="6" borderId="0" xfId="0" applyNumberFormat="1" applyFill="1" applyBorder="1"/>
    <xf numFmtId="2" fontId="0" fillId="2" borderId="1" xfId="0" applyNumberFormat="1" applyFill="1" applyBorder="1"/>
    <xf numFmtId="0" fontId="1" fillId="9" borderId="0" xfId="0" applyFont="1" applyFill="1" applyBorder="1"/>
    <xf numFmtId="0" fontId="0" fillId="9" borderId="0" xfId="0" applyFill="1"/>
    <xf numFmtId="0" fontId="1" fillId="9" borderId="0" xfId="0" applyFont="1" applyFill="1" applyBorder="1" applyAlignment="1">
      <alignment horizontal="left"/>
    </xf>
    <xf numFmtId="1" fontId="0" fillId="9" borderId="0" xfId="0" applyNumberFormat="1" applyFill="1" applyBorder="1"/>
    <xf numFmtId="165" fontId="0" fillId="9" borderId="0" xfId="0" applyNumberFormat="1" applyFill="1" applyBorder="1"/>
    <xf numFmtId="0" fontId="1" fillId="10" borderId="0" xfId="0" applyFont="1" applyFill="1" applyBorder="1"/>
    <xf numFmtId="0" fontId="0" fillId="10" borderId="0" xfId="0" applyFill="1" applyBorder="1" applyAlignment="1">
      <alignment wrapText="1"/>
    </xf>
    <xf numFmtId="0" fontId="1" fillId="10" borderId="0" xfId="0" applyFont="1" applyFill="1" applyBorder="1" applyAlignment="1">
      <alignment horizontal="left"/>
    </xf>
    <xf numFmtId="165" fontId="0" fillId="10" borderId="0" xfId="0" applyNumberFormat="1" applyFill="1" applyBorder="1"/>
    <xf numFmtId="1" fontId="0" fillId="9" borderId="1" xfId="0" applyNumberFormat="1" applyFill="1" applyBorder="1"/>
    <xf numFmtId="165" fontId="0" fillId="9" borderId="1" xfId="0" applyNumberFormat="1" applyFill="1" applyBorder="1"/>
    <xf numFmtId="0" fontId="1" fillId="9" borderId="0" xfId="0" applyFont="1" applyFill="1" applyAlignment="1">
      <alignment horizontal="left"/>
    </xf>
    <xf numFmtId="165" fontId="0" fillId="9" borderId="0" xfId="0" applyNumberFormat="1" applyFill="1"/>
    <xf numFmtId="0" fontId="0" fillId="7" borderId="0" xfId="0" applyFill="1" applyBorder="1"/>
    <xf numFmtId="165" fontId="0" fillId="10" borderId="0" xfId="0" applyNumberFormat="1" applyFill="1"/>
    <xf numFmtId="0" fontId="0" fillId="11" borderId="0" xfId="0" applyFill="1" applyBorder="1"/>
    <xf numFmtId="10" fontId="0" fillId="5" borderId="0" xfId="0" applyNumberFormat="1" applyFill="1"/>
    <xf numFmtId="10" fontId="0" fillId="10" borderId="0" xfId="0" applyNumberFormat="1" applyFill="1"/>
    <xf numFmtId="10" fontId="0" fillId="11" borderId="0" xfId="0" applyNumberFormat="1" applyFill="1"/>
    <xf numFmtId="2" fontId="0" fillId="10" borderId="0" xfId="0" applyNumberFormat="1" applyFill="1" applyBorder="1"/>
    <xf numFmtId="2" fontId="0" fillId="10" borderId="1" xfId="0" applyNumberFormat="1" applyFill="1" applyBorder="1"/>
    <xf numFmtId="10" fontId="0" fillId="8" borderId="0" xfId="0" applyNumberFormat="1" applyFill="1"/>
    <xf numFmtId="167" fontId="0" fillId="2" borderId="0" xfId="0" applyNumberFormat="1" applyFill="1" applyBorder="1"/>
    <xf numFmtId="167" fontId="0" fillId="2" borderId="0" xfId="0" applyNumberFormat="1" applyFill="1"/>
    <xf numFmtId="0" fontId="8" fillId="8" borderId="0" xfId="0" applyFont="1" applyFill="1" applyBorder="1"/>
    <xf numFmtId="0" fontId="0" fillId="6" borderId="0" xfId="0" applyFill="1"/>
    <xf numFmtId="2" fontId="0" fillId="6" borderId="0" xfId="0" applyNumberFormat="1" applyFill="1"/>
    <xf numFmtId="10" fontId="0" fillId="6" borderId="0" xfId="0" applyNumberFormat="1" applyFill="1"/>
    <xf numFmtId="165" fontId="0" fillId="6" borderId="0" xfId="0" applyNumberFormat="1" applyFill="1"/>
    <xf numFmtId="0" fontId="0" fillId="0" borderId="0" xfId="0" applyFill="1" applyBorder="1"/>
    <xf numFmtId="2" fontId="0" fillId="0" borderId="0" xfId="0" applyNumberFormat="1" applyFill="1" applyBorder="1"/>
    <xf numFmtId="165" fontId="0" fillId="0" borderId="0" xfId="0" applyNumberFormat="1" applyFill="1"/>
    <xf numFmtId="0" fontId="0" fillId="0" borderId="1" xfId="0" applyFill="1" applyBorder="1"/>
    <xf numFmtId="2" fontId="0" fillId="0" borderId="1" xfId="0" applyNumberFormat="1" applyFill="1" applyBorder="1"/>
    <xf numFmtId="0" fontId="0" fillId="8" borderId="0" xfId="0" applyFont="1" applyFill="1" applyBorder="1" applyAlignment="1"/>
    <xf numFmtId="0" fontId="0" fillId="7" borderId="0" xfId="0" applyFill="1"/>
    <xf numFmtId="0" fontId="0" fillId="3" borderId="8" xfId="0" applyFill="1" applyBorder="1" applyAlignment="1">
      <alignment horizontal="center"/>
    </xf>
    <xf numFmtId="0" fontId="0" fillId="3" borderId="9" xfId="0" applyFill="1" applyBorder="1" applyAlignment="1">
      <alignment horizontal="center"/>
    </xf>
    <xf numFmtId="0" fontId="0" fillId="3" borderId="10" xfId="0" applyFill="1" applyBorder="1" applyAlignment="1">
      <alignment horizontal="center"/>
    </xf>
    <xf numFmtId="0" fontId="1" fillId="6" borderId="0" xfId="0" applyFont="1" applyFill="1"/>
    <xf numFmtId="0" fontId="1" fillId="7" borderId="0" xfId="0" applyFont="1" applyFill="1"/>
    <xf numFmtId="0" fontId="5" fillId="6" borderId="0" xfId="0" applyFont="1" applyFill="1"/>
    <xf numFmtId="0" fontId="11" fillId="6" borderId="0" xfId="0" applyFont="1" applyFill="1" applyBorder="1"/>
    <xf numFmtId="0" fontId="12" fillId="6" borderId="0" xfId="0" applyFont="1" applyFill="1" applyBorder="1"/>
    <xf numFmtId="0" fontId="12" fillId="6" borderId="0" xfId="0" applyFont="1" applyFill="1" applyBorder="1" applyAlignment="1"/>
    <xf numFmtId="0" fontId="1" fillId="5" borderId="16" xfId="0" applyFont="1" applyFill="1" applyBorder="1" applyAlignment="1">
      <alignment horizontal="left" wrapText="1"/>
    </xf>
    <xf numFmtId="0" fontId="1" fillId="5" borderId="16" xfId="0" applyFont="1" applyFill="1" applyBorder="1" applyAlignment="1">
      <alignment wrapText="1"/>
    </xf>
    <xf numFmtId="0" fontId="1" fillId="5" borderId="0" xfId="0" applyFont="1" applyFill="1" applyAlignment="1">
      <alignment wrapText="1"/>
    </xf>
    <xf numFmtId="1" fontId="0" fillId="3" borderId="1" xfId="0" applyNumberFormat="1" applyFill="1" applyBorder="1"/>
    <xf numFmtId="0" fontId="0" fillId="8" borderId="0" xfId="0" quotePrefix="1" applyFill="1"/>
    <xf numFmtId="0" fontId="1" fillId="6" borderId="1" xfId="0" applyFont="1" applyFill="1" applyBorder="1" applyAlignment="1">
      <alignment horizontal="right"/>
    </xf>
    <xf numFmtId="164" fontId="0" fillId="6" borderId="3" xfId="0" applyNumberFormat="1" applyFill="1" applyBorder="1"/>
    <xf numFmtId="164" fontId="0" fillId="4" borderId="3" xfId="0" applyNumberFormat="1" applyFill="1" applyBorder="1" applyProtection="1">
      <protection locked="0"/>
    </xf>
    <xf numFmtId="0" fontId="0" fillId="4" borderId="3" xfId="0" applyFill="1" applyBorder="1" applyProtection="1">
      <protection locked="0"/>
    </xf>
    <xf numFmtId="0" fontId="0" fillId="4" borderId="3" xfId="0" applyFill="1" applyBorder="1" applyAlignment="1" applyProtection="1">
      <alignment horizontal="right"/>
      <protection locked="0"/>
    </xf>
    <xf numFmtId="0" fontId="0" fillId="6" borderId="0" xfId="0" applyFill="1" applyBorder="1" applyProtection="1">
      <protection locked="0"/>
    </xf>
    <xf numFmtId="165" fontId="0" fillId="5" borderId="11" xfId="0" applyNumberFormat="1" applyFill="1" applyBorder="1" applyAlignment="1"/>
    <xf numFmtId="165" fontId="0" fillId="5" borderId="12" xfId="0" applyNumberFormat="1" applyFill="1" applyBorder="1" applyAlignment="1"/>
    <xf numFmtId="165" fontId="0" fillId="5" borderId="13" xfId="0" applyNumberFormat="1" applyFill="1" applyBorder="1" applyAlignment="1"/>
    <xf numFmtId="0" fontId="0" fillId="5" borderId="5" xfId="0" applyFill="1" applyBorder="1"/>
    <xf numFmtId="0" fontId="0" fillId="5" borderId="6" xfId="0" applyFill="1" applyBorder="1"/>
    <xf numFmtId="0" fontId="0" fillId="5" borderId="7" xfId="0" applyFill="1" applyBorder="1"/>
    <xf numFmtId="0" fontId="0" fillId="5" borderId="4" xfId="0" applyFill="1" applyBorder="1"/>
    <xf numFmtId="0" fontId="0" fillId="0" borderId="3" xfId="0" applyFill="1" applyBorder="1" applyProtection="1">
      <protection locked="0"/>
    </xf>
    <xf numFmtId="1" fontId="0" fillId="0" borderId="0" xfId="0" applyNumberFormat="1" applyFill="1" applyProtection="1">
      <protection locked="0"/>
    </xf>
    <xf numFmtId="2" fontId="0" fillId="0" borderId="0" xfId="0" applyNumberFormat="1" applyFill="1" applyProtection="1">
      <protection locked="0"/>
    </xf>
    <xf numFmtId="0" fontId="0" fillId="3" borderId="1" xfId="0" applyFill="1" applyBorder="1" applyProtection="1">
      <protection locked="0"/>
    </xf>
    <xf numFmtId="0" fontId="0" fillId="3" borderId="0" xfId="0" applyFill="1" applyBorder="1" applyProtection="1">
      <protection locked="0"/>
    </xf>
    <xf numFmtId="0" fontId="0" fillId="0" borderId="0" xfId="0" applyFill="1" applyProtection="1">
      <protection locked="0"/>
    </xf>
    <xf numFmtId="1" fontId="0" fillId="0" borderId="0" xfId="0" applyNumberFormat="1" applyFill="1" applyBorder="1" applyProtection="1">
      <protection locked="0"/>
    </xf>
    <xf numFmtId="1" fontId="0" fillId="0" borderId="1" xfId="0" applyNumberFormat="1" applyFill="1" applyBorder="1" applyProtection="1">
      <protection locked="0"/>
    </xf>
    <xf numFmtId="164" fontId="0" fillId="0" borderId="0" xfId="0" applyNumberFormat="1" applyFill="1" applyProtection="1">
      <protection locked="0"/>
    </xf>
    <xf numFmtId="164" fontId="0" fillId="0" borderId="0" xfId="0" applyNumberFormat="1" applyFill="1" applyBorder="1" applyProtection="1">
      <protection locked="0"/>
    </xf>
    <xf numFmtId="164" fontId="0" fillId="0" borderId="1" xfId="0" applyNumberFormat="1" applyFill="1" applyBorder="1" applyProtection="1">
      <protection locked="0"/>
    </xf>
    <xf numFmtId="166" fontId="0" fillId="0" borderId="7" xfId="0" applyNumberFormat="1" applyFill="1" applyBorder="1" applyProtection="1">
      <protection locked="0"/>
    </xf>
    <xf numFmtId="166" fontId="0" fillId="0" borderId="3" xfId="0" applyNumberFormat="1" applyFill="1" applyBorder="1" applyProtection="1">
      <protection locked="0"/>
    </xf>
    <xf numFmtId="0" fontId="0" fillId="2" borderId="0" xfId="0" applyFill="1" applyProtection="1">
      <protection locked="0"/>
    </xf>
    <xf numFmtId="0" fontId="13" fillId="0" borderId="0" xfId="0" applyFont="1" applyAlignment="1">
      <alignment vertical="center" wrapText="1"/>
    </xf>
    <xf numFmtId="0" fontId="1" fillId="6" borderId="0" xfId="0" applyFont="1" applyFill="1" applyBorder="1" applyAlignment="1">
      <alignment horizontal="left" wrapText="1"/>
    </xf>
    <xf numFmtId="0" fontId="1" fillId="6" borderId="1" xfId="0" applyFont="1" applyFill="1" applyBorder="1" applyAlignment="1">
      <alignment horizontal="left" wrapText="1"/>
    </xf>
    <xf numFmtId="0" fontId="0" fillId="4" borderId="0" xfId="0" applyFill="1" applyAlignment="1">
      <alignment horizontal="left" wrapText="1"/>
    </xf>
    <xf numFmtId="0" fontId="0" fillId="3" borderId="0" xfId="0" applyFill="1" applyBorder="1" applyAlignment="1">
      <alignment horizontal="center"/>
    </xf>
    <xf numFmtId="0" fontId="0" fillId="3" borderId="0" xfId="0" applyFont="1" applyFill="1" applyBorder="1" applyAlignment="1">
      <alignment horizontal="center"/>
    </xf>
    <xf numFmtId="0" fontId="0" fillId="2" borderId="0" xfId="0" applyFill="1" applyAlignment="1">
      <alignment horizontal="center"/>
    </xf>
    <xf numFmtId="165" fontId="0" fillId="5" borderId="9" xfId="0" applyNumberFormat="1" applyFill="1" applyBorder="1" applyAlignment="1">
      <alignment horizontal="center"/>
    </xf>
    <xf numFmtId="165" fontId="0" fillId="5" borderId="0" xfId="0" applyNumberFormat="1" applyFill="1" applyBorder="1" applyAlignment="1">
      <alignment horizontal="center"/>
    </xf>
    <xf numFmtId="165" fontId="0" fillId="5" borderId="10" xfId="0" applyNumberFormat="1" applyFill="1" applyBorder="1" applyAlignment="1">
      <alignment horizontal="center"/>
    </xf>
    <xf numFmtId="165" fontId="0" fillId="5" borderId="1" xfId="0" applyNumberFormat="1" applyFill="1" applyBorder="1" applyAlignment="1">
      <alignment horizontal="center"/>
    </xf>
    <xf numFmtId="0" fontId="1" fillId="5" borderId="1" xfId="0" applyFont="1" applyFill="1" applyBorder="1" applyAlignment="1">
      <alignment horizontal="left" wrapText="1"/>
    </xf>
    <xf numFmtId="0" fontId="1" fillId="5" borderId="0" xfId="0" applyFont="1" applyFill="1" applyBorder="1" applyAlignment="1">
      <alignment horizontal="left" wrapText="1"/>
    </xf>
    <xf numFmtId="0" fontId="1" fillId="5" borderId="1" xfId="0" applyFont="1" applyFill="1" applyBorder="1" applyAlignment="1">
      <alignment horizontal="left"/>
    </xf>
    <xf numFmtId="165" fontId="0" fillId="5" borderId="8" xfId="0" applyNumberFormat="1" applyFill="1" applyBorder="1" applyAlignment="1">
      <alignment horizontal="center"/>
    </xf>
    <xf numFmtId="165" fontId="0" fillId="5" borderId="4" xfId="0" applyNumberFormat="1" applyFill="1" applyBorder="1" applyAlignment="1">
      <alignment horizontal="center"/>
    </xf>
    <xf numFmtId="0" fontId="1" fillId="5" borderId="16" xfId="0" applyFont="1" applyFill="1" applyBorder="1" applyAlignment="1">
      <alignment horizontal="left" wrapText="1"/>
    </xf>
    <xf numFmtId="0" fontId="0" fillId="2" borderId="0" xfId="0" applyFill="1" applyAlignment="1">
      <alignment horizontal="left"/>
    </xf>
    <xf numFmtId="0" fontId="0" fillId="2" borderId="10" xfId="0" applyFont="1" applyFill="1" applyBorder="1" applyAlignment="1">
      <alignment horizontal="left" wrapText="1"/>
    </xf>
    <xf numFmtId="0" fontId="0" fillId="2" borderId="13" xfId="0" applyFont="1" applyFill="1" applyBorder="1" applyAlignment="1">
      <alignment horizontal="left" wrapText="1"/>
    </xf>
    <xf numFmtId="0" fontId="9" fillId="2" borderId="8" xfId="0" applyFont="1" applyFill="1" applyBorder="1" applyAlignment="1">
      <alignment horizontal="center" vertical="top"/>
    </xf>
    <xf numFmtId="0" fontId="9" fillId="2" borderId="11" xfId="0" applyFont="1" applyFill="1" applyBorder="1" applyAlignment="1">
      <alignment horizontal="center" vertical="top"/>
    </xf>
    <xf numFmtId="0" fontId="9" fillId="2" borderId="10" xfId="0" applyFont="1" applyFill="1" applyBorder="1" applyAlignment="1">
      <alignment horizontal="center" vertical="top"/>
    </xf>
    <xf numFmtId="0" fontId="9" fillId="2" borderId="13" xfId="0" applyFont="1" applyFill="1" applyBorder="1" applyAlignment="1">
      <alignment horizontal="center" vertical="top"/>
    </xf>
    <xf numFmtId="0" fontId="0" fillId="6" borderId="0" xfId="0" applyFill="1" applyBorder="1" applyAlignment="1">
      <alignment horizontal="right"/>
    </xf>
    <xf numFmtId="0" fontId="1" fillId="2" borderId="0" xfId="0" applyFont="1" applyFill="1" applyBorder="1" applyAlignment="1">
      <alignment horizontal="center" wrapText="1"/>
    </xf>
    <xf numFmtId="9" fontId="0" fillId="2" borderId="1" xfId="0" applyNumberFormat="1" applyFill="1" applyBorder="1" applyAlignment="1">
      <alignment horizontal="center" wrapText="1"/>
    </xf>
    <xf numFmtId="9" fontId="0" fillId="5" borderId="1" xfId="0" applyNumberFormat="1" applyFill="1" applyBorder="1" applyAlignment="1">
      <alignment horizontal="center" wrapText="1"/>
    </xf>
    <xf numFmtId="0" fontId="0" fillId="2" borderId="1" xfId="0" applyFill="1" applyBorder="1" applyAlignment="1">
      <alignment horizontal="center" wrapText="1"/>
    </xf>
  </cellXfs>
  <cellStyles count="1">
    <cellStyle name="Normaali" xfId="0" builtinId="0"/>
  </cellStyles>
  <dxfs count="22">
    <dxf>
      <fill>
        <patternFill patternType="solid">
          <fgColor indexed="64"/>
          <bgColor theme="8" tint="0.79998168889431442"/>
        </patternFill>
      </fill>
    </dxf>
    <dxf>
      <fill>
        <patternFill patternType="solid">
          <fgColor indexed="64"/>
          <bgColor theme="8" tint="0.79998168889431442"/>
        </patternFill>
      </fill>
    </dxf>
    <dxf>
      <font>
        <b val="0"/>
        <i val="0"/>
        <strike val="0"/>
        <condense val="0"/>
        <extend val="0"/>
        <outline val="0"/>
        <shadow val="0"/>
        <u val="none"/>
        <vertAlign val="baseline"/>
        <sz val="11"/>
        <color theme="4" tint="-0.249977111117893"/>
        <name val="Calibri"/>
        <scheme val="minor"/>
      </font>
      <fill>
        <patternFill patternType="solid">
          <fgColor indexed="64"/>
          <bgColor theme="8" tint="0.79998168889431442"/>
        </patternFill>
      </fill>
    </dxf>
    <dxf>
      <border outline="0">
        <top style="thin">
          <color theme="4"/>
        </top>
      </border>
    </dxf>
    <dxf>
      <font>
        <b val="0"/>
        <i val="0"/>
        <strike val="0"/>
        <condense val="0"/>
        <extend val="0"/>
        <outline val="0"/>
        <shadow val="0"/>
        <u val="none"/>
        <vertAlign val="baseline"/>
        <sz val="11"/>
        <color theme="4" tint="-0.249977111117893"/>
        <name val="Calibri"/>
        <scheme val="minor"/>
      </font>
      <fill>
        <patternFill patternType="solid">
          <fgColor indexed="64"/>
          <bgColor theme="8" tint="0.79998168889431442"/>
        </patternFill>
      </fill>
    </dxf>
    <dxf>
      <border outline="0">
        <bottom style="thin">
          <color theme="4"/>
        </bottom>
      </border>
    </dxf>
    <dxf>
      <font>
        <b/>
        <i val="0"/>
        <strike val="0"/>
        <condense val="0"/>
        <extend val="0"/>
        <outline val="0"/>
        <shadow val="0"/>
        <u val="none"/>
        <vertAlign val="baseline"/>
        <sz val="11"/>
        <color theme="4" tint="-0.249977111117893"/>
        <name val="Calibri"/>
        <scheme val="minor"/>
      </font>
    </dxf>
    <dxf>
      <font>
        <b val="0"/>
        <i val="0"/>
        <strike val="0"/>
        <condense val="0"/>
        <extend val="0"/>
        <outline val="0"/>
        <shadow val="0"/>
        <u val="none"/>
        <vertAlign val="baseline"/>
        <sz val="11"/>
        <color theme="4" tint="-0.249977111117893"/>
        <name val="Calibri"/>
        <scheme val="minor"/>
      </font>
      <fill>
        <patternFill patternType="solid">
          <fgColor indexed="64"/>
          <bgColor theme="8" tint="0.79998168889431442"/>
        </patternFill>
      </fill>
    </dxf>
    <dxf>
      <border outline="0">
        <top style="thin">
          <color theme="4"/>
        </top>
      </border>
    </dxf>
    <dxf>
      <font>
        <b val="0"/>
        <i val="0"/>
        <strike val="0"/>
        <condense val="0"/>
        <extend val="0"/>
        <outline val="0"/>
        <shadow val="0"/>
        <u val="none"/>
        <vertAlign val="baseline"/>
        <sz val="11"/>
        <color theme="4" tint="-0.249977111117893"/>
        <name val="Calibri"/>
        <scheme val="minor"/>
      </font>
      <fill>
        <patternFill patternType="solid">
          <fgColor indexed="64"/>
          <bgColor theme="8" tint="0.79998168889431442"/>
        </patternFill>
      </fill>
    </dxf>
    <dxf>
      <border outline="0">
        <bottom style="thin">
          <color theme="4"/>
        </bottom>
      </border>
    </dxf>
    <dxf>
      <font>
        <b/>
        <i val="0"/>
        <strike val="0"/>
        <condense val="0"/>
        <extend val="0"/>
        <outline val="0"/>
        <shadow val="0"/>
        <u val="none"/>
        <vertAlign val="baseline"/>
        <sz val="11"/>
        <color theme="4" tint="-0.249977111117893"/>
        <name val="Calibri"/>
        <scheme val="minor"/>
      </font>
    </dxf>
    <dxf>
      <fill>
        <patternFill patternType="solid">
          <fgColor indexed="64"/>
          <bgColor theme="8" tint="0.79998168889431442"/>
        </patternFill>
      </fill>
    </dxf>
    <dxf>
      <fill>
        <patternFill patternType="solid">
          <fgColor indexed="64"/>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i-FI"/>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a:pPr>
            <a:r>
              <a:rPr lang="en-US" sz="1800" b="1" i="0" baseline="0">
                <a:effectLst/>
              </a:rPr>
              <a:t>Sekajätteen painoperusteisen hinnan käsittelyn osuus</a:t>
            </a:r>
            <a:endParaRPr lang="en-US">
              <a:effectLst/>
            </a:endParaRPr>
          </a:p>
        </c:rich>
      </c:tx>
      <c:layout/>
      <c:overlay val="0"/>
    </c:title>
    <c:autoTitleDeleted val="0"/>
    <c:plotArea>
      <c:layout>
        <c:manualLayout>
          <c:layoutTarget val="inner"/>
          <c:xMode val="edge"/>
          <c:yMode val="edge"/>
          <c:x val="0.13787350917185492"/>
          <c:y val="0.18452642765420438"/>
          <c:w val="0.79080012622000018"/>
          <c:h val="0.67100608601103062"/>
        </c:manualLayout>
      </c:layout>
      <c:barChart>
        <c:barDir val="col"/>
        <c:grouping val="clustered"/>
        <c:varyColors val="0"/>
        <c:ser>
          <c:idx val="0"/>
          <c:order val="0"/>
          <c:tx>
            <c:strRef>
              <c:f>'Uudet hinnat'!$C$28</c:f>
              <c:strCache>
                <c:ptCount val="1"/>
                <c:pt idx="0">
                  <c:v>Sekajätteen hinta (€/t)</c:v>
                </c:pt>
              </c:strCache>
            </c:strRef>
          </c:tx>
          <c:invertIfNegative val="0"/>
          <c:val>
            <c:numRef>
              <c:f>'Uudet hinnat'!$C$29:$C$35</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219970944"/>
        <c:axId val="220305664"/>
      </c:barChart>
      <c:catAx>
        <c:axId val="219970944"/>
        <c:scaling>
          <c:orientation val="minMax"/>
        </c:scaling>
        <c:delete val="0"/>
        <c:axPos val="b"/>
        <c:title>
          <c:tx>
            <c:rich>
              <a:bodyPr/>
              <a:lstStyle/>
              <a:p>
                <a:pPr>
                  <a:defRPr/>
                </a:pPr>
                <a:r>
                  <a:rPr lang="en-US"/>
                  <a:t>Keräyslajien määrä</a:t>
                </a:r>
              </a:p>
            </c:rich>
          </c:tx>
          <c:layout/>
          <c:overlay val="0"/>
        </c:title>
        <c:majorTickMark val="out"/>
        <c:minorTickMark val="none"/>
        <c:tickLblPos val="nextTo"/>
        <c:crossAx val="220305664"/>
        <c:crosses val="autoZero"/>
        <c:auto val="1"/>
        <c:lblAlgn val="ctr"/>
        <c:lblOffset val="100"/>
        <c:noMultiLvlLbl val="0"/>
      </c:catAx>
      <c:valAx>
        <c:axId val="220305664"/>
        <c:scaling>
          <c:orientation val="minMax"/>
        </c:scaling>
        <c:delete val="0"/>
        <c:axPos val="l"/>
        <c:majorGridlines/>
        <c:title>
          <c:tx>
            <c:rich>
              <a:bodyPr rot="-5400000" vert="horz"/>
              <a:lstStyle/>
              <a:p>
                <a:pPr>
                  <a:defRPr/>
                </a:pPr>
                <a:r>
                  <a:rPr lang="en-US"/>
                  <a:t>Hinta €/t</a:t>
                </a:r>
              </a:p>
            </c:rich>
          </c:tx>
          <c:layout/>
          <c:overlay val="0"/>
        </c:title>
        <c:numFmt formatCode="#,##0" sourceLinked="0"/>
        <c:majorTickMark val="out"/>
        <c:minorTickMark val="none"/>
        <c:tickLblPos val="nextTo"/>
        <c:crossAx val="219970944"/>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i-FI"/>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a:pPr>
            <a:r>
              <a:rPr lang="en-US" sz="1800" b="1" i="0" baseline="0">
                <a:effectLst/>
              </a:rPr>
              <a:t>Sekajätteen painoperusteisen hinnan käsittelyn osuus</a:t>
            </a:r>
            <a:endParaRPr lang="en-US">
              <a:effectLst/>
            </a:endParaRPr>
          </a:p>
        </c:rich>
      </c:tx>
      <c:layout/>
      <c:overlay val="0"/>
    </c:title>
    <c:autoTitleDeleted val="0"/>
    <c:plotArea>
      <c:layout/>
      <c:barChart>
        <c:barDir val="col"/>
        <c:grouping val="clustered"/>
        <c:varyColors val="0"/>
        <c:ser>
          <c:idx val="0"/>
          <c:order val="0"/>
          <c:tx>
            <c:strRef>
              <c:f>'Uudet hinnat-oma hinnanmääritys'!$C$23</c:f>
              <c:strCache>
                <c:ptCount val="1"/>
                <c:pt idx="0">
                  <c:v>Syötä sekajätteen hinta (€/t)</c:v>
                </c:pt>
              </c:strCache>
            </c:strRef>
          </c:tx>
          <c:invertIfNegative val="0"/>
          <c:val>
            <c:numRef>
              <c:f>'Uudet hinnat-oma hinnanmääritys'!$C$24:$C$30</c:f>
              <c:numCache>
                <c:formatCode>#,##0.0</c:formatCode>
                <c:ptCount val="7"/>
              </c:numCache>
            </c:numRef>
          </c:val>
        </c:ser>
        <c:dLbls>
          <c:showLegendKey val="0"/>
          <c:showVal val="0"/>
          <c:showCatName val="0"/>
          <c:showSerName val="0"/>
          <c:showPercent val="0"/>
          <c:showBubbleSize val="0"/>
        </c:dLbls>
        <c:gapWidth val="150"/>
        <c:axId val="220319104"/>
        <c:axId val="220214784"/>
      </c:barChart>
      <c:catAx>
        <c:axId val="220319104"/>
        <c:scaling>
          <c:orientation val="minMax"/>
        </c:scaling>
        <c:delete val="0"/>
        <c:axPos val="b"/>
        <c:title>
          <c:tx>
            <c:rich>
              <a:bodyPr/>
              <a:lstStyle/>
              <a:p>
                <a:pPr>
                  <a:defRPr/>
                </a:pPr>
                <a:r>
                  <a:rPr lang="en-US"/>
                  <a:t>Keräyslajien määrä</a:t>
                </a:r>
              </a:p>
            </c:rich>
          </c:tx>
          <c:layout/>
          <c:overlay val="0"/>
        </c:title>
        <c:majorTickMark val="out"/>
        <c:minorTickMark val="none"/>
        <c:tickLblPos val="nextTo"/>
        <c:crossAx val="220214784"/>
        <c:crosses val="autoZero"/>
        <c:auto val="1"/>
        <c:lblAlgn val="ctr"/>
        <c:lblOffset val="100"/>
        <c:noMultiLvlLbl val="0"/>
      </c:catAx>
      <c:valAx>
        <c:axId val="220214784"/>
        <c:scaling>
          <c:orientation val="minMax"/>
        </c:scaling>
        <c:delete val="0"/>
        <c:axPos val="l"/>
        <c:majorGridlines/>
        <c:title>
          <c:tx>
            <c:rich>
              <a:bodyPr rot="-5400000" vert="horz"/>
              <a:lstStyle/>
              <a:p>
                <a:pPr>
                  <a:defRPr/>
                </a:pPr>
                <a:r>
                  <a:rPr lang="en-US"/>
                  <a:t>Hinta €/tn</a:t>
                </a:r>
              </a:p>
            </c:rich>
          </c:tx>
          <c:layout/>
          <c:overlay val="0"/>
        </c:title>
        <c:numFmt formatCode="#,##0" sourceLinked="0"/>
        <c:majorTickMark val="out"/>
        <c:minorTickMark val="none"/>
        <c:tickLblPos val="nextTo"/>
        <c:crossAx val="220319104"/>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a:t>Kerrostaloyhtiön jätemaksu</a:t>
            </a:r>
          </a:p>
        </c:rich>
      </c:tx>
      <c:layout/>
      <c:overlay val="0"/>
    </c:title>
    <c:autoTitleDeleted val="0"/>
    <c:plotArea>
      <c:layout/>
      <c:barChart>
        <c:barDir val="col"/>
        <c:grouping val="stacked"/>
        <c:varyColors val="0"/>
        <c:ser>
          <c:idx val="2"/>
          <c:order val="0"/>
          <c:tx>
            <c:v>Perusmaksuosuus ja ALV</c:v>
          </c:tx>
          <c:invertIfNegative val="0"/>
          <c:val>
            <c:numRef>
              <c:f>Kuvaajat!$H$27:$H$29</c:f>
              <c:numCache>
                <c:formatCode>0.0</c:formatCode>
                <c:ptCount val="3"/>
                <c:pt idx="0">
                  <c:v>0</c:v>
                </c:pt>
                <c:pt idx="1">
                  <c:v>0</c:v>
                </c:pt>
                <c:pt idx="2">
                  <c:v>0</c:v>
                </c:pt>
              </c:numCache>
            </c:numRef>
          </c:val>
        </c:ser>
        <c:ser>
          <c:idx val="1"/>
          <c:order val="1"/>
          <c:tx>
            <c:v>Kuljetus ja keräys</c:v>
          </c:tx>
          <c:invertIfNegative val="0"/>
          <c:cat>
            <c:numRef>
              <c:f>Kuvaajat!$E$27:$E$29</c:f>
              <c:numCache>
                <c:formatCode>0%</c:formatCode>
                <c:ptCount val="3"/>
                <c:pt idx="0">
                  <c:v>0.4</c:v>
                </c:pt>
                <c:pt idx="1">
                  <c:v>0.6</c:v>
                </c:pt>
                <c:pt idx="2">
                  <c:v>0.8</c:v>
                </c:pt>
              </c:numCache>
            </c:numRef>
          </c:cat>
          <c:val>
            <c:numRef>
              <c:f>Kuvaajat!$G$27:$G$29</c:f>
              <c:numCache>
                <c:formatCode>0.0</c:formatCode>
                <c:ptCount val="3"/>
                <c:pt idx="0">
                  <c:v>213.2</c:v>
                </c:pt>
                <c:pt idx="1">
                  <c:v>213.2</c:v>
                </c:pt>
                <c:pt idx="2">
                  <c:v>213.2</c:v>
                </c:pt>
              </c:numCache>
            </c:numRef>
          </c:val>
        </c:ser>
        <c:ser>
          <c:idx val="0"/>
          <c:order val="2"/>
          <c:tx>
            <c:v>Käsittely</c:v>
          </c:tx>
          <c:invertIfNegative val="0"/>
          <c:cat>
            <c:numRef>
              <c:f>Kuvaajat!$E$27:$E$29</c:f>
              <c:numCache>
                <c:formatCode>0%</c:formatCode>
                <c:ptCount val="3"/>
                <c:pt idx="0">
                  <c:v>0.4</c:v>
                </c:pt>
                <c:pt idx="1">
                  <c:v>0.6</c:v>
                </c:pt>
                <c:pt idx="2">
                  <c:v>0.8</c:v>
                </c:pt>
              </c:numCache>
            </c:numRef>
          </c:cat>
          <c:val>
            <c:numRef>
              <c:f>Kuvaajat!$F$27:$F$29</c:f>
              <c:numCache>
                <c:formatCode>0.0</c:formatCode>
                <c:ptCount val="3"/>
                <c:pt idx="0">
                  <c:v>0</c:v>
                </c:pt>
                <c:pt idx="1">
                  <c:v>0</c:v>
                </c:pt>
                <c:pt idx="2">
                  <c:v>0</c:v>
                </c:pt>
              </c:numCache>
            </c:numRef>
          </c:val>
        </c:ser>
        <c:dLbls>
          <c:showLegendKey val="0"/>
          <c:showVal val="0"/>
          <c:showCatName val="0"/>
          <c:showSerName val="0"/>
          <c:showPercent val="0"/>
          <c:showBubbleSize val="0"/>
        </c:dLbls>
        <c:gapWidth val="150"/>
        <c:overlap val="100"/>
        <c:axId val="222346624"/>
        <c:axId val="222352896"/>
      </c:barChart>
      <c:catAx>
        <c:axId val="222346624"/>
        <c:scaling>
          <c:orientation val="minMax"/>
        </c:scaling>
        <c:delete val="0"/>
        <c:axPos val="b"/>
        <c:title>
          <c:tx>
            <c:rich>
              <a:bodyPr/>
              <a:lstStyle/>
              <a:p>
                <a:pPr>
                  <a:defRPr/>
                </a:pPr>
                <a:r>
                  <a:rPr lang="en-US"/>
                  <a:t>Asukkaiden lajitteluaktiivisuus</a:t>
                </a:r>
                <a:r>
                  <a:rPr lang="en-US" baseline="0"/>
                  <a:t> (%)</a:t>
                </a:r>
              </a:p>
            </c:rich>
          </c:tx>
          <c:layout/>
          <c:overlay val="0"/>
        </c:title>
        <c:numFmt formatCode="0%" sourceLinked="1"/>
        <c:majorTickMark val="out"/>
        <c:minorTickMark val="none"/>
        <c:tickLblPos val="nextTo"/>
        <c:crossAx val="222352896"/>
        <c:crosses val="autoZero"/>
        <c:auto val="1"/>
        <c:lblAlgn val="ctr"/>
        <c:lblOffset val="100"/>
        <c:noMultiLvlLbl val="0"/>
      </c:catAx>
      <c:valAx>
        <c:axId val="222352896"/>
        <c:scaling>
          <c:orientation val="minMax"/>
        </c:scaling>
        <c:delete val="0"/>
        <c:axPos val="l"/>
        <c:majorGridlines/>
        <c:title>
          <c:tx>
            <c:rich>
              <a:bodyPr rot="-5400000" vert="horz"/>
              <a:lstStyle/>
              <a:p>
                <a:pPr>
                  <a:defRPr/>
                </a:pPr>
                <a:r>
                  <a:rPr lang="en-US"/>
                  <a:t>Vuosimaksu</a:t>
                </a:r>
                <a:r>
                  <a:rPr lang="en-US" baseline="0"/>
                  <a:t> (€)</a:t>
                </a:r>
                <a:endParaRPr lang="en-US"/>
              </a:p>
            </c:rich>
          </c:tx>
          <c:layout/>
          <c:overlay val="0"/>
        </c:title>
        <c:numFmt formatCode="0" sourceLinked="0"/>
        <c:majorTickMark val="out"/>
        <c:minorTickMark val="none"/>
        <c:tickLblPos val="nextTo"/>
        <c:crossAx val="222346624"/>
        <c:crosses val="autoZero"/>
        <c:crossBetween val="between"/>
      </c:valAx>
    </c:plotArea>
    <c:legend>
      <c:legendPos val="r"/>
      <c:layout/>
      <c:overlay val="0"/>
    </c:legend>
    <c:plotVisOnly val="0"/>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i-FI"/>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Kerrostaloyhtiön jätemaksu </a:t>
            </a:r>
          </a:p>
        </c:rich>
      </c:tx>
      <c:layout/>
      <c:overlay val="0"/>
    </c:title>
    <c:autoTitleDeleted val="0"/>
    <c:plotArea>
      <c:layout>
        <c:manualLayout>
          <c:layoutTarget val="inner"/>
          <c:xMode val="edge"/>
          <c:yMode val="edge"/>
          <c:x val="0.12564610799933845"/>
          <c:y val="0.20972661095588951"/>
          <c:w val="0.64714936850835125"/>
          <c:h val="0.66496838318134954"/>
        </c:manualLayout>
      </c:layout>
      <c:barChart>
        <c:barDir val="col"/>
        <c:grouping val="stacked"/>
        <c:varyColors val="0"/>
        <c:ser>
          <c:idx val="2"/>
          <c:order val="0"/>
          <c:tx>
            <c:v>Perusmaksuosuus ja ALV</c:v>
          </c:tx>
          <c:invertIfNegative val="0"/>
          <c:cat>
            <c:numRef>
              <c:f>Kuvaajat!$E$32:$E$34</c:f>
              <c:numCache>
                <c:formatCode>0%</c:formatCode>
                <c:ptCount val="3"/>
                <c:pt idx="0">
                  <c:v>0.4</c:v>
                </c:pt>
                <c:pt idx="1">
                  <c:v>0.6</c:v>
                </c:pt>
                <c:pt idx="2">
                  <c:v>0.8</c:v>
                </c:pt>
              </c:numCache>
            </c:numRef>
          </c:cat>
          <c:val>
            <c:numRef>
              <c:f>Kuvaajat!$H$32:$H$34</c:f>
              <c:numCache>
                <c:formatCode>0.00%</c:formatCode>
                <c:ptCount val="3"/>
                <c:pt idx="0">
                  <c:v>0</c:v>
                </c:pt>
                <c:pt idx="1">
                  <c:v>0</c:v>
                </c:pt>
                <c:pt idx="2">
                  <c:v>0</c:v>
                </c:pt>
              </c:numCache>
            </c:numRef>
          </c:val>
        </c:ser>
        <c:ser>
          <c:idx val="1"/>
          <c:order val="1"/>
          <c:tx>
            <c:v>Kuljetus ja keräys</c:v>
          </c:tx>
          <c:invertIfNegative val="0"/>
          <c:cat>
            <c:numRef>
              <c:f>Kuvaajat!$E$32:$E$34</c:f>
              <c:numCache>
                <c:formatCode>0%</c:formatCode>
                <c:ptCount val="3"/>
                <c:pt idx="0">
                  <c:v>0.4</c:v>
                </c:pt>
                <c:pt idx="1">
                  <c:v>0.6</c:v>
                </c:pt>
                <c:pt idx="2">
                  <c:v>0.8</c:v>
                </c:pt>
              </c:numCache>
            </c:numRef>
          </c:cat>
          <c:val>
            <c:numRef>
              <c:f>Kuvaajat!$G$32:$G$34</c:f>
              <c:numCache>
                <c:formatCode>0.00%</c:formatCode>
                <c:ptCount val="3"/>
                <c:pt idx="0">
                  <c:v>0</c:v>
                </c:pt>
                <c:pt idx="1">
                  <c:v>0</c:v>
                </c:pt>
                <c:pt idx="2">
                  <c:v>0</c:v>
                </c:pt>
              </c:numCache>
            </c:numRef>
          </c:val>
        </c:ser>
        <c:ser>
          <c:idx val="0"/>
          <c:order val="2"/>
          <c:tx>
            <c:v>Käsittely</c:v>
          </c:tx>
          <c:invertIfNegative val="0"/>
          <c:cat>
            <c:numRef>
              <c:f>Kuvaajat!$E$32:$E$34</c:f>
              <c:numCache>
                <c:formatCode>0%</c:formatCode>
                <c:ptCount val="3"/>
                <c:pt idx="0">
                  <c:v>0.4</c:v>
                </c:pt>
                <c:pt idx="1">
                  <c:v>0.6</c:v>
                </c:pt>
                <c:pt idx="2">
                  <c:v>0.8</c:v>
                </c:pt>
              </c:numCache>
            </c:numRef>
          </c:cat>
          <c:val>
            <c:numRef>
              <c:f>Kuvaajat!$F$32:$F$34</c:f>
              <c:numCache>
                <c:formatCode>0.00%</c:formatCode>
                <c:ptCount val="3"/>
                <c:pt idx="0">
                  <c:v>0</c:v>
                </c:pt>
                <c:pt idx="1">
                  <c:v>0</c:v>
                </c:pt>
                <c:pt idx="2">
                  <c:v>0</c:v>
                </c:pt>
              </c:numCache>
            </c:numRef>
          </c:val>
        </c:ser>
        <c:dLbls>
          <c:showLegendKey val="0"/>
          <c:showVal val="0"/>
          <c:showCatName val="0"/>
          <c:showSerName val="0"/>
          <c:showPercent val="0"/>
          <c:showBubbleSize val="0"/>
        </c:dLbls>
        <c:gapWidth val="150"/>
        <c:overlap val="100"/>
        <c:axId val="222776704"/>
        <c:axId val="222782976"/>
      </c:barChart>
      <c:catAx>
        <c:axId val="222776704"/>
        <c:scaling>
          <c:orientation val="minMax"/>
        </c:scaling>
        <c:delete val="0"/>
        <c:axPos val="b"/>
        <c:title>
          <c:tx>
            <c:rich>
              <a:bodyPr/>
              <a:lstStyle/>
              <a:p>
                <a:pPr>
                  <a:defRPr/>
                </a:pPr>
                <a:r>
                  <a:rPr lang="en-US"/>
                  <a:t>Asukkaiden lajitteluaktiivisuus (%)</a:t>
                </a:r>
              </a:p>
            </c:rich>
          </c:tx>
          <c:layout/>
          <c:overlay val="0"/>
        </c:title>
        <c:numFmt formatCode="0%" sourceLinked="1"/>
        <c:majorTickMark val="out"/>
        <c:minorTickMark val="none"/>
        <c:tickLblPos val="nextTo"/>
        <c:crossAx val="222782976"/>
        <c:crosses val="autoZero"/>
        <c:auto val="1"/>
        <c:lblAlgn val="ctr"/>
        <c:lblOffset val="100"/>
        <c:noMultiLvlLbl val="0"/>
      </c:catAx>
      <c:valAx>
        <c:axId val="222782976"/>
        <c:scaling>
          <c:orientation val="minMax"/>
          <c:max val="1"/>
          <c:min val="0"/>
        </c:scaling>
        <c:delete val="0"/>
        <c:axPos val="l"/>
        <c:majorGridlines/>
        <c:title>
          <c:tx>
            <c:rich>
              <a:bodyPr rot="-5400000" vert="horz"/>
              <a:lstStyle/>
              <a:p>
                <a:pPr>
                  <a:defRPr/>
                </a:pPr>
                <a:r>
                  <a:rPr lang="en-US"/>
                  <a:t>Vuosimaksu (%)</a:t>
                </a:r>
              </a:p>
            </c:rich>
          </c:tx>
          <c:layout/>
          <c:overlay val="0"/>
        </c:title>
        <c:numFmt formatCode="0%" sourceLinked="0"/>
        <c:majorTickMark val="out"/>
        <c:minorTickMark val="none"/>
        <c:tickLblPos val="nextTo"/>
        <c:crossAx val="222776704"/>
        <c:crosses val="autoZero"/>
        <c:crossBetween val="between"/>
      </c:valAx>
    </c:plotArea>
    <c:legend>
      <c:legendPos val="r"/>
      <c:layout/>
      <c:overlay val="0"/>
    </c:legend>
    <c:plotVisOnly val="0"/>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a:t>Omakotitalon jätemaksu</a:t>
            </a:r>
          </a:p>
        </c:rich>
      </c:tx>
      <c:overlay val="0"/>
    </c:title>
    <c:autoTitleDeleted val="0"/>
    <c:plotArea>
      <c:layout/>
      <c:barChart>
        <c:barDir val="col"/>
        <c:grouping val="stacked"/>
        <c:varyColors val="0"/>
        <c:ser>
          <c:idx val="2"/>
          <c:order val="0"/>
          <c:tx>
            <c:v>Perusmaksuosuus ja ALV</c:v>
          </c:tx>
          <c:invertIfNegative val="0"/>
          <c:val>
            <c:numRef>
              <c:f>Kuvaajat!$H$96:$H$98</c:f>
              <c:numCache>
                <c:formatCode>0.0</c:formatCode>
                <c:ptCount val="3"/>
                <c:pt idx="0">
                  <c:v>44.400000000000006</c:v>
                </c:pt>
                <c:pt idx="1">
                  <c:v>44.400000000000006</c:v>
                </c:pt>
                <c:pt idx="2">
                  <c:v>44.400000000000006</c:v>
                </c:pt>
              </c:numCache>
            </c:numRef>
          </c:val>
        </c:ser>
        <c:ser>
          <c:idx val="1"/>
          <c:order val="1"/>
          <c:tx>
            <c:v>Kuljetus ja keräys</c:v>
          </c:tx>
          <c:invertIfNegative val="0"/>
          <c:cat>
            <c:numRef>
              <c:f>Kuvaajat!$E$27:$E$29</c:f>
              <c:numCache>
                <c:formatCode>0%</c:formatCode>
                <c:ptCount val="3"/>
                <c:pt idx="0">
                  <c:v>0.4</c:v>
                </c:pt>
                <c:pt idx="1">
                  <c:v>0.6</c:v>
                </c:pt>
                <c:pt idx="2">
                  <c:v>0.8</c:v>
                </c:pt>
              </c:numCache>
            </c:numRef>
          </c:cat>
          <c:val>
            <c:numRef>
              <c:f>Kuvaajat!$G$96:$G$98</c:f>
              <c:numCache>
                <c:formatCode>0.0</c:formatCode>
                <c:ptCount val="3"/>
                <c:pt idx="0">
                  <c:v>44.400000000000006</c:v>
                </c:pt>
                <c:pt idx="1">
                  <c:v>44.400000000000006</c:v>
                </c:pt>
                <c:pt idx="2">
                  <c:v>44.400000000000006</c:v>
                </c:pt>
              </c:numCache>
            </c:numRef>
          </c:val>
        </c:ser>
        <c:ser>
          <c:idx val="0"/>
          <c:order val="2"/>
          <c:tx>
            <c:v>Käsittely</c:v>
          </c:tx>
          <c:invertIfNegative val="0"/>
          <c:cat>
            <c:numRef>
              <c:f>Kuvaajat!$E$27:$E$29</c:f>
              <c:numCache>
                <c:formatCode>0%</c:formatCode>
                <c:ptCount val="3"/>
                <c:pt idx="0">
                  <c:v>0.4</c:v>
                </c:pt>
                <c:pt idx="1">
                  <c:v>0.6</c:v>
                </c:pt>
                <c:pt idx="2">
                  <c:v>0.8</c:v>
                </c:pt>
              </c:numCache>
            </c:numRef>
          </c:cat>
          <c:val>
            <c:numRef>
              <c:f>Kuvaajat!$F$96:$F$98</c:f>
              <c:numCache>
                <c:formatCode>0.0</c:formatCode>
                <c:ptCount val="3"/>
                <c:pt idx="0">
                  <c:v>0</c:v>
                </c:pt>
                <c:pt idx="1">
                  <c:v>0</c:v>
                </c:pt>
                <c:pt idx="2">
                  <c:v>0</c:v>
                </c:pt>
              </c:numCache>
            </c:numRef>
          </c:val>
        </c:ser>
        <c:dLbls>
          <c:showLegendKey val="0"/>
          <c:showVal val="0"/>
          <c:showCatName val="0"/>
          <c:showSerName val="0"/>
          <c:showPercent val="0"/>
          <c:showBubbleSize val="0"/>
        </c:dLbls>
        <c:gapWidth val="150"/>
        <c:overlap val="100"/>
        <c:axId val="222696960"/>
        <c:axId val="222698880"/>
      </c:barChart>
      <c:catAx>
        <c:axId val="222696960"/>
        <c:scaling>
          <c:orientation val="minMax"/>
        </c:scaling>
        <c:delete val="0"/>
        <c:axPos val="b"/>
        <c:title>
          <c:tx>
            <c:rich>
              <a:bodyPr/>
              <a:lstStyle/>
              <a:p>
                <a:pPr>
                  <a:defRPr/>
                </a:pPr>
                <a:r>
                  <a:rPr lang="en-US"/>
                  <a:t>Asukkaiden lajitteluaktiivisuus</a:t>
                </a:r>
                <a:r>
                  <a:rPr lang="en-US" baseline="0"/>
                  <a:t> (%)</a:t>
                </a:r>
              </a:p>
            </c:rich>
          </c:tx>
          <c:overlay val="0"/>
        </c:title>
        <c:numFmt formatCode="0%" sourceLinked="1"/>
        <c:majorTickMark val="out"/>
        <c:minorTickMark val="none"/>
        <c:tickLblPos val="nextTo"/>
        <c:crossAx val="222698880"/>
        <c:crosses val="autoZero"/>
        <c:auto val="1"/>
        <c:lblAlgn val="ctr"/>
        <c:lblOffset val="100"/>
        <c:noMultiLvlLbl val="0"/>
      </c:catAx>
      <c:valAx>
        <c:axId val="222698880"/>
        <c:scaling>
          <c:orientation val="minMax"/>
        </c:scaling>
        <c:delete val="0"/>
        <c:axPos val="l"/>
        <c:majorGridlines/>
        <c:title>
          <c:tx>
            <c:rich>
              <a:bodyPr rot="-5400000" vert="horz"/>
              <a:lstStyle/>
              <a:p>
                <a:pPr>
                  <a:defRPr/>
                </a:pPr>
                <a:r>
                  <a:rPr lang="en-US"/>
                  <a:t>Vuosimaksu</a:t>
                </a:r>
                <a:r>
                  <a:rPr lang="en-US" baseline="0"/>
                  <a:t> (€)</a:t>
                </a:r>
                <a:endParaRPr lang="en-US"/>
              </a:p>
            </c:rich>
          </c:tx>
          <c:overlay val="0"/>
        </c:title>
        <c:numFmt formatCode="0" sourceLinked="0"/>
        <c:majorTickMark val="out"/>
        <c:minorTickMark val="none"/>
        <c:tickLblPos val="nextTo"/>
        <c:crossAx val="222696960"/>
        <c:crosses val="autoZero"/>
        <c:crossBetween val="between"/>
      </c:valAx>
    </c:plotArea>
    <c:legend>
      <c:legendPos val="r"/>
      <c:overlay val="0"/>
    </c:legend>
    <c:plotVisOnly val="0"/>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i-FI"/>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Omakotitalon  jätemaksu </a:t>
            </a:r>
          </a:p>
        </c:rich>
      </c:tx>
      <c:overlay val="0"/>
    </c:title>
    <c:autoTitleDeleted val="0"/>
    <c:plotArea>
      <c:layout>
        <c:manualLayout>
          <c:layoutTarget val="inner"/>
          <c:xMode val="edge"/>
          <c:yMode val="edge"/>
          <c:x val="0.12564610799933845"/>
          <c:y val="0.20972661095588951"/>
          <c:w val="0.60556513604116313"/>
          <c:h val="0.66496838318134954"/>
        </c:manualLayout>
      </c:layout>
      <c:barChart>
        <c:barDir val="col"/>
        <c:grouping val="stacked"/>
        <c:varyColors val="0"/>
        <c:ser>
          <c:idx val="2"/>
          <c:order val="0"/>
          <c:tx>
            <c:v>Perusmaksuosuus ja ALV</c:v>
          </c:tx>
          <c:invertIfNegative val="0"/>
          <c:cat>
            <c:numRef>
              <c:f>Kuvaajat!$E$32:$E$34</c:f>
              <c:numCache>
                <c:formatCode>0%</c:formatCode>
                <c:ptCount val="3"/>
                <c:pt idx="0">
                  <c:v>0.4</c:v>
                </c:pt>
                <c:pt idx="1">
                  <c:v>0.6</c:v>
                </c:pt>
                <c:pt idx="2">
                  <c:v>0.8</c:v>
                </c:pt>
              </c:numCache>
            </c:numRef>
          </c:cat>
          <c:val>
            <c:numRef>
              <c:f>Kuvaajat!$H$101:$H$103</c:f>
              <c:numCache>
                <c:formatCode>0.00%</c:formatCode>
                <c:ptCount val="3"/>
                <c:pt idx="0">
                  <c:v>0</c:v>
                </c:pt>
                <c:pt idx="1">
                  <c:v>0</c:v>
                </c:pt>
                <c:pt idx="2">
                  <c:v>0</c:v>
                </c:pt>
              </c:numCache>
            </c:numRef>
          </c:val>
        </c:ser>
        <c:ser>
          <c:idx val="1"/>
          <c:order val="1"/>
          <c:tx>
            <c:v>Kuljetus ja keräys</c:v>
          </c:tx>
          <c:invertIfNegative val="0"/>
          <c:cat>
            <c:numRef>
              <c:f>Kuvaajat!$E$32:$E$34</c:f>
              <c:numCache>
                <c:formatCode>0%</c:formatCode>
                <c:ptCount val="3"/>
                <c:pt idx="0">
                  <c:v>0.4</c:v>
                </c:pt>
                <c:pt idx="1">
                  <c:v>0.6</c:v>
                </c:pt>
                <c:pt idx="2">
                  <c:v>0.8</c:v>
                </c:pt>
              </c:numCache>
            </c:numRef>
          </c:cat>
          <c:val>
            <c:numRef>
              <c:f>Kuvaajat!$G$101:$G$103</c:f>
              <c:numCache>
                <c:formatCode>0.00%</c:formatCode>
                <c:ptCount val="3"/>
                <c:pt idx="0">
                  <c:v>0</c:v>
                </c:pt>
                <c:pt idx="1">
                  <c:v>0</c:v>
                </c:pt>
                <c:pt idx="2">
                  <c:v>0</c:v>
                </c:pt>
              </c:numCache>
            </c:numRef>
          </c:val>
        </c:ser>
        <c:ser>
          <c:idx val="0"/>
          <c:order val="2"/>
          <c:tx>
            <c:v>Käsittely</c:v>
          </c:tx>
          <c:invertIfNegative val="0"/>
          <c:cat>
            <c:numRef>
              <c:f>Kuvaajat!$E$32:$E$34</c:f>
              <c:numCache>
                <c:formatCode>0%</c:formatCode>
                <c:ptCount val="3"/>
                <c:pt idx="0">
                  <c:v>0.4</c:v>
                </c:pt>
                <c:pt idx="1">
                  <c:v>0.6</c:v>
                </c:pt>
                <c:pt idx="2">
                  <c:v>0.8</c:v>
                </c:pt>
              </c:numCache>
            </c:numRef>
          </c:cat>
          <c:val>
            <c:numRef>
              <c:f>Kuvaajat!$F$101:$F$103</c:f>
              <c:numCache>
                <c:formatCode>0.00%</c:formatCode>
                <c:ptCount val="3"/>
                <c:pt idx="0">
                  <c:v>0</c:v>
                </c:pt>
                <c:pt idx="1">
                  <c:v>0</c:v>
                </c:pt>
                <c:pt idx="2">
                  <c:v>0</c:v>
                </c:pt>
              </c:numCache>
            </c:numRef>
          </c:val>
        </c:ser>
        <c:dLbls>
          <c:showLegendKey val="0"/>
          <c:showVal val="0"/>
          <c:showCatName val="0"/>
          <c:showSerName val="0"/>
          <c:showPercent val="0"/>
          <c:showBubbleSize val="0"/>
        </c:dLbls>
        <c:gapWidth val="150"/>
        <c:overlap val="100"/>
        <c:axId val="222715264"/>
        <c:axId val="222742016"/>
      </c:barChart>
      <c:catAx>
        <c:axId val="222715264"/>
        <c:scaling>
          <c:orientation val="minMax"/>
        </c:scaling>
        <c:delete val="0"/>
        <c:axPos val="b"/>
        <c:title>
          <c:tx>
            <c:rich>
              <a:bodyPr/>
              <a:lstStyle/>
              <a:p>
                <a:pPr>
                  <a:defRPr/>
                </a:pPr>
                <a:r>
                  <a:rPr lang="en-US"/>
                  <a:t>Asukkaiden lajitteluaktiivisuus (%)</a:t>
                </a:r>
              </a:p>
            </c:rich>
          </c:tx>
          <c:overlay val="0"/>
        </c:title>
        <c:numFmt formatCode="0%" sourceLinked="1"/>
        <c:majorTickMark val="out"/>
        <c:minorTickMark val="none"/>
        <c:tickLblPos val="nextTo"/>
        <c:crossAx val="222742016"/>
        <c:crosses val="autoZero"/>
        <c:auto val="1"/>
        <c:lblAlgn val="ctr"/>
        <c:lblOffset val="100"/>
        <c:noMultiLvlLbl val="0"/>
      </c:catAx>
      <c:valAx>
        <c:axId val="222742016"/>
        <c:scaling>
          <c:orientation val="minMax"/>
          <c:max val="1"/>
          <c:min val="0"/>
        </c:scaling>
        <c:delete val="0"/>
        <c:axPos val="l"/>
        <c:majorGridlines/>
        <c:title>
          <c:tx>
            <c:rich>
              <a:bodyPr rot="-5400000" vert="horz"/>
              <a:lstStyle/>
              <a:p>
                <a:pPr>
                  <a:defRPr/>
                </a:pPr>
                <a:r>
                  <a:rPr lang="en-US"/>
                  <a:t>Vuosimaksu (%)</a:t>
                </a:r>
              </a:p>
            </c:rich>
          </c:tx>
          <c:overlay val="0"/>
        </c:title>
        <c:numFmt formatCode="0%" sourceLinked="0"/>
        <c:majorTickMark val="out"/>
        <c:minorTickMark val="none"/>
        <c:tickLblPos val="nextTo"/>
        <c:crossAx val="222715264"/>
        <c:crosses val="autoZero"/>
        <c:crossBetween val="between"/>
      </c:valAx>
    </c:plotArea>
    <c:legend>
      <c:legendPos val="r"/>
      <c:overlay val="0"/>
    </c:legend>
    <c:plotVisOnly val="0"/>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CheckBox" fmlaLink="D16" lockText="1" noThreeD="1"/>
</file>

<file path=xl/ctrlProps/ctrlProp10.xml><?xml version="1.0" encoding="utf-8"?>
<formControlPr xmlns="http://schemas.microsoft.com/office/spreadsheetml/2009/9/main" objectType="CheckBox" fmlaLink="$I$18" lockText="1" noThreeD="1"/>
</file>

<file path=xl/ctrlProps/ctrlProp11.xml><?xml version="1.0" encoding="utf-8"?>
<formControlPr xmlns="http://schemas.microsoft.com/office/spreadsheetml/2009/9/main" objectType="CheckBox" fmlaLink="$I$19" lockText="1" noThreeD="1"/>
</file>

<file path=xl/ctrlProps/ctrlProp12.xml><?xml version="1.0" encoding="utf-8"?>
<formControlPr xmlns="http://schemas.microsoft.com/office/spreadsheetml/2009/9/main" objectType="CheckBox" fmlaLink="$I$20" lockText="1" noThreeD="1"/>
</file>

<file path=xl/ctrlProps/ctrlProp13.xml><?xml version="1.0" encoding="utf-8"?>
<formControlPr xmlns="http://schemas.microsoft.com/office/spreadsheetml/2009/9/main" objectType="CheckBox" fmlaLink="$I$21" lockText="1" noThreeD="1"/>
</file>

<file path=xl/ctrlProps/ctrlProp14.xml><?xml version="1.0" encoding="utf-8"?>
<formControlPr xmlns="http://schemas.microsoft.com/office/spreadsheetml/2009/9/main" objectType="CheckBox" fmlaLink="$I$22" lockText="1" noThreeD="1"/>
</file>

<file path=xl/ctrlProps/ctrlProp15.xml><?xml version="1.0" encoding="utf-8"?>
<formControlPr xmlns="http://schemas.microsoft.com/office/spreadsheetml/2009/9/main" objectType="CheckBox" fmlaLink="$N$16" lockText="1" noThreeD="1"/>
</file>

<file path=xl/ctrlProps/ctrlProp16.xml><?xml version="1.0" encoding="utf-8"?>
<formControlPr xmlns="http://schemas.microsoft.com/office/spreadsheetml/2009/9/main" objectType="CheckBox" fmlaLink="$N$17" lockText="1" noThreeD="1"/>
</file>

<file path=xl/ctrlProps/ctrlProp17.xml><?xml version="1.0" encoding="utf-8"?>
<formControlPr xmlns="http://schemas.microsoft.com/office/spreadsheetml/2009/9/main" objectType="CheckBox" fmlaLink="$N$18" lockText="1" noThreeD="1"/>
</file>

<file path=xl/ctrlProps/ctrlProp18.xml><?xml version="1.0" encoding="utf-8"?>
<formControlPr xmlns="http://schemas.microsoft.com/office/spreadsheetml/2009/9/main" objectType="CheckBox" fmlaLink="$N$19" lockText="1" noThreeD="1"/>
</file>

<file path=xl/ctrlProps/ctrlProp19.xml><?xml version="1.0" encoding="utf-8"?>
<formControlPr xmlns="http://schemas.microsoft.com/office/spreadsheetml/2009/9/main" objectType="CheckBox" fmlaLink="$N$20" lockText="1" noThreeD="1"/>
</file>

<file path=xl/ctrlProps/ctrlProp2.xml><?xml version="1.0" encoding="utf-8"?>
<formControlPr xmlns="http://schemas.microsoft.com/office/spreadsheetml/2009/9/main" objectType="CheckBox" fmlaLink="D17" lockText="1" noThreeD="1"/>
</file>

<file path=xl/ctrlProps/ctrlProp20.xml><?xml version="1.0" encoding="utf-8"?>
<formControlPr xmlns="http://schemas.microsoft.com/office/spreadsheetml/2009/9/main" objectType="CheckBox" fmlaLink="$N$21" lockText="1" noThreeD="1"/>
</file>

<file path=xl/ctrlProps/ctrlProp21.xml><?xml version="1.0" encoding="utf-8"?>
<formControlPr xmlns="http://schemas.microsoft.com/office/spreadsheetml/2009/9/main" objectType="CheckBox" fmlaLink="$N$22" lockText="1" noThreeD="1"/>
</file>

<file path=xl/ctrlProps/ctrlProp22.xml><?xml version="1.0" encoding="utf-8"?>
<formControlPr xmlns="http://schemas.microsoft.com/office/spreadsheetml/2009/9/main" objectType="CheckBox" fmlaLink="$S$16" lockText="1" noThreeD="1"/>
</file>

<file path=xl/ctrlProps/ctrlProp23.xml><?xml version="1.0" encoding="utf-8"?>
<formControlPr xmlns="http://schemas.microsoft.com/office/spreadsheetml/2009/9/main" objectType="CheckBox" fmlaLink="$S$17" lockText="1" noThreeD="1"/>
</file>

<file path=xl/ctrlProps/ctrlProp24.xml><?xml version="1.0" encoding="utf-8"?>
<formControlPr xmlns="http://schemas.microsoft.com/office/spreadsheetml/2009/9/main" objectType="CheckBox" fmlaLink="$S$18" lockText="1" noThreeD="1"/>
</file>

<file path=xl/ctrlProps/ctrlProp25.xml><?xml version="1.0" encoding="utf-8"?>
<formControlPr xmlns="http://schemas.microsoft.com/office/spreadsheetml/2009/9/main" objectType="CheckBox" fmlaLink="$S$19" lockText="1" noThreeD="1"/>
</file>

<file path=xl/ctrlProps/ctrlProp26.xml><?xml version="1.0" encoding="utf-8"?>
<formControlPr xmlns="http://schemas.microsoft.com/office/spreadsheetml/2009/9/main" objectType="CheckBox" fmlaLink="$S$20" lockText="1" noThreeD="1"/>
</file>

<file path=xl/ctrlProps/ctrlProp27.xml><?xml version="1.0" encoding="utf-8"?>
<formControlPr xmlns="http://schemas.microsoft.com/office/spreadsheetml/2009/9/main" objectType="CheckBox" fmlaLink="$S$21" lockText="1" noThreeD="1"/>
</file>

<file path=xl/ctrlProps/ctrlProp28.xml><?xml version="1.0" encoding="utf-8"?>
<formControlPr xmlns="http://schemas.microsoft.com/office/spreadsheetml/2009/9/main" objectType="CheckBox" fmlaLink="$S$22" lockText="1" noThreeD="1"/>
</file>

<file path=xl/ctrlProps/ctrlProp29.xml><?xml version="1.0" encoding="utf-8"?>
<formControlPr xmlns="http://schemas.microsoft.com/office/spreadsheetml/2009/9/main" objectType="CheckBox" fmlaLink="$X$16" lockText="1" noThreeD="1"/>
</file>

<file path=xl/ctrlProps/ctrlProp3.xml><?xml version="1.0" encoding="utf-8"?>
<formControlPr xmlns="http://schemas.microsoft.com/office/spreadsheetml/2009/9/main" objectType="CheckBox" fmlaLink="D18" lockText="1" noThreeD="1"/>
</file>

<file path=xl/ctrlProps/ctrlProp30.xml><?xml version="1.0" encoding="utf-8"?>
<formControlPr xmlns="http://schemas.microsoft.com/office/spreadsheetml/2009/9/main" objectType="CheckBox" fmlaLink="$X$17" lockText="1" noThreeD="1"/>
</file>

<file path=xl/ctrlProps/ctrlProp31.xml><?xml version="1.0" encoding="utf-8"?>
<formControlPr xmlns="http://schemas.microsoft.com/office/spreadsheetml/2009/9/main" objectType="CheckBox" fmlaLink="$X$18" lockText="1" noThreeD="1"/>
</file>

<file path=xl/ctrlProps/ctrlProp32.xml><?xml version="1.0" encoding="utf-8"?>
<formControlPr xmlns="http://schemas.microsoft.com/office/spreadsheetml/2009/9/main" objectType="CheckBox" fmlaLink="$X$19" lockText="1" noThreeD="1"/>
</file>

<file path=xl/ctrlProps/ctrlProp33.xml><?xml version="1.0" encoding="utf-8"?>
<formControlPr xmlns="http://schemas.microsoft.com/office/spreadsheetml/2009/9/main" objectType="CheckBox" fmlaLink="$X$20" lockText="1" noThreeD="1"/>
</file>

<file path=xl/ctrlProps/ctrlProp34.xml><?xml version="1.0" encoding="utf-8"?>
<formControlPr xmlns="http://schemas.microsoft.com/office/spreadsheetml/2009/9/main" objectType="CheckBox" fmlaLink="$X$21" lockText="1" noThreeD="1"/>
</file>

<file path=xl/ctrlProps/ctrlProp35.xml><?xml version="1.0" encoding="utf-8"?>
<formControlPr xmlns="http://schemas.microsoft.com/office/spreadsheetml/2009/9/main" objectType="CheckBox" fmlaLink="$X$22" lockText="1" noThreeD="1"/>
</file>

<file path=xl/ctrlProps/ctrlProp36.xml><?xml version="1.0" encoding="utf-8"?>
<formControlPr xmlns="http://schemas.microsoft.com/office/spreadsheetml/2009/9/main" objectType="CheckBox" fmlaLink="$AC$16" lockText="1" noThreeD="1"/>
</file>

<file path=xl/ctrlProps/ctrlProp37.xml><?xml version="1.0" encoding="utf-8"?>
<formControlPr xmlns="http://schemas.microsoft.com/office/spreadsheetml/2009/9/main" objectType="CheckBox" fmlaLink="$AC$17" lockText="1" noThreeD="1"/>
</file>

<file path=xl/ctrlProps/ctrlProp38.xml><?xml version="1.0" encoding="utf-8"?>
<formControlPr xmlns="http://schemas.microsoft.com/office/spreadsheetml/2009/9/main" objectType="CheckBox" fmlaLink="$AC$18" lockText="1" noThreeD="1"/>
</file>

<file path=xl/ctrlProps/ctrlProp39.xml><?xml version="1.0" encoding="utf-8"?>
<formControlPr xmlns="http://schemas.microsoft.com/office/spreadsheetml/2009/9/main" objectType="CheckBox" fmlaLink="$AC$19" lockText="1" noThreeD="1"/>
</file>

<file path=xl/ctrlProps/ctrlProp4.xml><?xml version="1.0" encoding="utf-8"?>
<formControlPr xmlns="http://schemas.microsoft.com/office/spreadsheetml/2009/9/main" objectType="CheckBox" fmlaLink="$D$19" lockText="1" noThreeD="1"/>
</file>

<file path=xl/ctrlProps/ctrlProp40.xml><?xml version="1.0" encoding="utf-8"?>
<formControlPr xmlns="http://schemas.microsoft.com/office/spreadsheetml/2009/9/main" objectType="CheckBox" fmlaLink="$AC$20" lockText="1" noThreeD="1"/>
</file>

<file path=xl/ctrlProps/ctrlProp41.xml><?xml version="1.0" encoding="utf-8"?>
<formControlPr xmlns="http://schemas.microsoft.com/office/spreadsheetml/2009/9/main" objectType="CheckBox" fmlaLink="$AC$21" lockText="1" noThreeD="1"/>
</file>

<file path=xl/ctrlProps/ctrlProp42.xml><?xml version="1.0" encoding="utf-8"?>
<formControlPr xmlns="http://schemas.microsoft.com/office/spreadsheetml/2009/9/main" objectType="CheckBox" fmlaLink="$AC$22" lockText="1" noThreeD="1"/>
</file>

<file path=xl/ctrlProps/ctrlProp43.xml><?xml version="1.0" encoding="utf-8"?>
<formControlPr xmlns="http://schemas.microsoft.com/office/spreadsheetml/2009/9/main" objectType="CheckBox" fmlaLink="$AH$16" lockText="1" noThreeD="1"/>
</file>

<file path=xl/ctrlProps/ctrlProp44.xml><?xml version="1.0" encoding="utf-8"?>
<formControlPr xmlns="http://schemas.microsoft.com/office/spreadsheetml/2009/9/main" objectType="CheckBox" fmlaLink="$AH$17" lockText="1" noThreeD="1"/>
</file>

<file path=xl/ctrlProps/ctrlProp45.xml><?xml version="1.0" encoding="utf-8"?>
<formControlPr xmlns="http://schemas.microsoft.com/office/spreadsheetml/2009/9/main" objectType="CheckBox" fmlaLink="$AH$18" lockText="1" noThreeD="1"/>
</file>

<file path=xl/ctrlProps/ctrlProp46.xml><?xml version="1.0" encoding="utf-8"?>
<formControlPr xmlns="http://schemas.microsoft.com/office/spreadsheetml/2009/9/main" objectType="CheckBox" fmlaLink="$AH$19" lockText="1" noThreeD="1"/>
</file>

<file path=xl/ctrlProps/ctrlProp47.xml><?xml version="1.0" encoding="utf-8"?>
<formControlPr xmlns="http://schemas.microsoft.com/office/spreadsheetml/2009/9/main" objectType="CheckBox" fmlaLink="$AH$20" lockText="1" noThreeD="1"/>
</file>

<file path=xl/ctrlProps/ctrlProp48.xml><?xml version="1.0" encoding="utf-8"?>
<formControlPr xmlns="http://schemas.microsoft.com/office/spreadsheetml/2009/9/main" objectType="CheckBox" fmlaLink="$AH$21" lockText="1" noThreeD="1"/>
</file>

<file path=xl/ctrlProps/ctrlProp49.xml><?xml version="1.0" encoding="utf-8"?>
<formControlPr xmlns="http://schemas.microsoft.com/office/spreadsheetml/2009/9/main" objectType="CheckBox" fmlaLink="$AH$22" lockText="1" noThreeD="1"/>
</file>

<file path=xl/ctrlProps/ctrlProp5.xml><?xml version="1.0" encoding="utf-8"?>
<formControlPr xmlns="http://schemas.microsoft.com/office/spreadsheetml/2009/9/main" objectType="CheckBox" fmlaLink="$D$20" lockText="1" noThreeD="1"/>
</file>

<file path=xl/ctrlProps/ctrlProp6.xml><?xml version="1.0" encoding="utf-8"?>
<formControlPr xmlns="http://schemas.microsoft.com/office/spreadsheetml/2009/9/main" objectType="CheckBox" fmlaLink="$D$21" lockText="1" noThreeD="1"/>
</file>

<file path=xl/ctrlProps/ctrlProp7.xml><?xml version="1.0" encoding="utf-8"?>
<formControlPr xmlns="http://schemas.microsoft.com/office/spreadsheetml/2009/9/main" objectType="CheckBox" fmlaLink="$D$22" lockText="1" noThreeD="1"/>
</file>

<file path=xl/ctrlProps/ctrlProp8.xml><?xml version="1.0" encoding="utf-8"?>
<formControlPr xmlns="http://schemas.microsoft.com/office/spreadsheetml/2009/9/main" objectType="CheckBox" fmlaLink="$I$16" lockText="1" noThreeD="1"/>
</file>

<file path=xl/ctrlProps/ctrlProp9.xml><?xml version="1.0" encoding="utf-8"?>
<formControlPr xmlns="http://schemas.microsoft.com/office/spreadsheetml/2009/9/main" objectType="CheckBox" fmlaLink="$I$17"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JPG"/><Relationship Id="rId1" Type="http://schemas.openxmlformats.org/officeDocument/2006/relationships/image" Target="../media/image5.JP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xdr:col>
      <xdr:colOff>427567</xdr:colOff>
      <xdr:row>7</xdr:row>
      <xdr:rowOff>74083</xdr:rowOff>
    </xdr:from>
    <xdr:to>
      <xdr:col>2</xdr:col>
      <xdr:colOff>1150042</xdr:colOff>
      <xdr:row>10</xdr:row>
      <xdr:rowOff>37251</xdr:rowOff>
    </xdr:to>
    <xdr:pic>
      <xdr:nvPicPr>
        <xdr:cNvPr id="2" name="Kuva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9234" y="5238750"/>
          <a:ext cx="722475" cy="534668"/>
        </a:xfrm>
        <a:prstGeom prst="rect">
          <a:avLst/>
        </a:prstGeom>
      </xdr:spPr>
    </xdr:pic>
    <xdr:clientData/>
  </xdr:twoCellAnchor>
  <xdr:twoCellAnchor editAs="oneCell">
    <xdr:from>
      <xdr:col>2</xdr:col>
      <xdr:colOff>4307414</xdr:colOff>
      <xdr:row>6</xdr:row>
      <xdr:rowOff>158752</xdr:rowOff>
    </xdr:from>
    <xdr:to>
      <xdr:col>2</xdr:col>
      <xdr:colOff>6307943</xdr:colOff>
      <xdr:row>10</xdr:row>
      <xdr:rowOff>73121</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19081" y="5249335"/>
          <a:ext cx="2000529" cy="676369"/>
        </a:xfrm>
        <a:prstGeom prst="rect">
          <a:avLst/>
        </a:prstGeom>
      </xdr:spPr>
    </xdr:pic>
    <xdr:clientData/>
  </xdr:twoCellAnchor>
  <xdr:twoCellAnchor editAs="oneCell">
    <xdr:from>
      <xdr:col>2</xdr:col>
      <xdr:colOff>1725085</xdr:colOff>
      <xdr:row>6</xdr:row>
      <xdr:rowOff>148166</xdr:rowOff>
    </xdr:from>
    <xdr:to>
      <xdr:col>2</xdr:col>
      <xdr:colOff>4106335</xdr:colOff>
      <xdr:row>10</xdr:row>
      <xdr:rowOff>51892</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36752" y="5238749"/>
          <a:ext cx="2381250" cy="665726"/>
        </a:xfrm>
        <a:prstGeom prst="rect">
          <a:avLst/>
        </a:prstGeom>
      </xdr:spPr>
    </xdr:pic>
    <xdr:clientData/>
  </xdr:twoCellAnchor>
  <xdr:twoCellAnchor editAs="oneCell">
    <xdr:from>
      <xdr:col>2</xdr:col>
      <xdr:colOff>4614333</xdr:colOff>
      <xdr:row>0</xdr:row>
      <xdr:rowOff>349251</xdr:rowOff>
    </xdr:from>
    <xdr:to>
      <xdr:col>2</xdr:col>
      <xdr:colOff>6815666</xdr:colOff>
      <xdr:row>0</xdr:row>
      <xdr:rowOff>876993</xdr:rowOff>
    </xdr:to>
    <xdr:pic>
      <xdr:nvPicPr>
        <xdr:cNvPr id="9" name="Picture 8"/>
        <xdr:cNvPicPr>
          <a:picLocks noChangeAspect="1"/>
        </xdr:cNvPicPr>
      </xdr:nvPicPr>
      <xdr:blipFill>
        <a:blip xmlns:r="http://schemas.openxmlformats.org/officeDocument/2006/relationships" r:embed="rId4"/>
        <a:stretch>
          <a:fillRect/>
        </a:stretch>
      </xdr:blipFill>
      <xdr:spPr>
        <a:xfrm>
          <a:off x="7006166" y="698501"/>
          <a:ext cx="2201333" cy="5277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107</xdr:row>
      <xdr:rowOff>0</xdr:rowOff>
    </xdr:from>
    <xdr:to>
      <xdr:col>12</xdr:col>
      <xdr:colOff>76200</xdr:colOff>
      <xdr:row>123</xdr:row>
      <xdr:rowOff>102635</xdr:rowOff>
    </xdr:to>
    <xdr:grpSp>
      <xdr:nvGrpSpPr>
        <xdr:cNvPr id="17" name="Group 16"/>
        <xdr:cNvGrpSpPr/>
      </xdr:nvGrpSpPr>
      <xdr:grpSpPr>
        <a:xfrm>
          <a:off x="358140" y="19690080"/>
          <a:ext cx="5577840" cy="3028715"/>
          <a:chOff x="10563225" y="14744700"/>
          <a:chExt cx="5438775" cy="3150635"/>
        </a:xfrm>
      </xdr:grpSpPr>
      <xdr:grpSp>
        <xdr:nvGrpSpPr>
          <xdr:cNvPr id="15" name="Group 14"/>
          <xdr:cNvGrpSpPr/>
        </xdr:nvGrpSpPr>
        <xdr:grpSpPr>
          <a:xfrm>
            <a:off x="10563225" y="14744700"/>
            <a:ext cx="5438775" cy="2943225"/>
            <a:chOff x="10591800" y="14744700"/>
            <a:chExt cx="5438775" cy="2943225"/>
          </a:xfrm>
        </xdr:grpSpPr>
        <xdr:pic>
          <xdr:nvPicPr>
            <xdr:cNvPr id="13" name="Picture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91800" y="14744700"/>
              <a:ext cx="5438775" cy="1181100"/>
            </a:xfrm>
            <a:prstGeom prst="rect">
              <a:avLst/>
            </a:prstGeom>
          </xdr:spPr>
        </xdr:pic>
        <xdr:pic>
          <xdr:nvPicPr>
            <xdr:cNvPr id="14" name="Picture 1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601325" y="15868650"/>
              <a:ext cx="5419725" cy="1819275"/>
            </a:xfrm>
            <a:prstGeom prst="rect">
              <a:avLst/>
            </a:prstGeom>
          </xdr:spPr>
        </xdr:pic>
      </xdr:grpSp>
      <xdr:sp macro="" textlink="">
        <xdr:nvSpPr>
          <xdr:cNvPr id="16" name="TextBox 15"/>
          <xdr:cNvSpPr txBox="1"/>
        </xdr:nvSpPr>
        <xdr:spPr>
          <a:xfrm>
            <a:off x="10668000" y="17630775"/>
            <a:ext cx="27193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KIVO:n</a:t>
            </a:r>
            <a:r>
              <a:rPr lang="en-US" sz="1100" baseline="0"/>
              <a:t> vertailukiinteistöjen määritelmät [1].</a:t>
            </a:r>
            <a:endParaRPr lang="en-US" sz="1100"/>
          </a:p>
        </xdr:txBody>
      </xdr:sp>
    </xdr:grpSp>
    <xdr:clientData/>
  </xdr:twoCellAnchor>
  <xdr:twoCellAnchor editAs="oneCell">
    <xdr:from>
      <xdr:col>2</xdr:col>
      <xdr:colOff>0</xdr:colOff>
      <xdr:row>60</xdr:row>
      <xdr:rowOff>38100</xdr:rowOff>
    </xdr:from>
    <xdr:to>
      <xdr:col>20</xdr:col>
      <xdr:colOff>408261</xdr:colOff>
      <xdr:row>73</xdr:row>
      <xdr:rowOff>94934</xdr:rowOff>
    </xdr:to>
    <xdr:pic>
      <xdr:nvPicPr>
        <xdr:cNvPr id="7" name="Picture 6"/>
        <xdr:cNvPicPr>
          <a:picLocks noChangeAspect="1"/>
        </xdr:cNvPicPr>
      </xdr:nvPicPr>
      <xdr:blipFill>
        <a:blip xmlns:r="http://schemas.openxmlformats.org/officeDocument/2006/relationships" r:embed="rId3"/>
        <a:stretch>
          <a:fillRect/>
        </a:stretch>
      </xdr:blipFill>
      <xdr:spPr>
        <a:xfrm>
          <a:off x="485775" y="11925300"/>
          <a:ext cx="10514286" cy="2533334"/>
        </a:xfrm>
        <a:prstGeom prst="rect">
          <a:avLst/>
        </a:prstGeom>
      </xdr:spPr>
    </xdr:pic>
    <xdr:clientData/>
  </xdr:twoCellAnchor>
  <xdr:twoCellAnchor editAs="oneCell">
    <xdr:from>
      <xdr:col>1</xdr:col>
      <xdr:colOff>200025</xdr:colOff>
      <xdr:row>88</xdr:row>
      <xdr:rowOff>47625</xdr:rowOff>
    </xdr:from>
    <xdr:to>
      <xdr:col>19</xdr:col>
      <xdr:colOff>246427</xdr:colOff>
      <xdr:row>106</xdr:row>
      <xdr:rowOff>113863</xdr:rowOff>
    </xdr:to>
    <xdr:pic>
      <xdr:nvPicPr>
        <xdr:cNvPr id="8" name="Picture 7"/>
        <xdr:cNvPicPr>
          <a:picLocks noChangeAspect="1"/>
        </xdr:cNvPicPr>
      </xdr:nvPicPr>
      <xdr:blipFill>
        <a:blip xmlns:r="http://schemas.openxmlformats.org/officeDocument/2006/relationships" r:embed="rId4"/>
        <a:stretch>
          <a:fillRect/>
        </a:stretch>
      </xdr:blipFill>
      <xdr:spPr>
        <a:xfrm>
          <a:off x="438150" y="17268825"/>
          <a:ext cx="9790477" cy="3495238"/>
        </a:xfrm>
        <a:prstGeom prst="rect">
          <a:avLst/>
        </a:prstGeom>
      </xdr:spPr>
    </xdr:pic>
    <xdr:clientData/>
  </xdr:twoCellAnchor>
  <xdr:twoCellAnchor editAs="oneCell">
    <xdr:from>
      <xdr:col>1</xdr:col>
      <xdr:colOff>228600</xdr:colOff>
      <xdr:row>131</xdr:row>
      <xdr:rowOff>133350</xdr:rowOff>
    </xdr:from>
    <xdr:to>
      <xdr:col>11</xdr:col>
      <xdr:colOff>94659</xdr:colOff>
      <xdr:row>141</xdr:row>
      <xdr:rowOff>37874</xdr:rowOff>
    </xdr:to>
    <xdr:pic>
      <xdr:nvPicPr>
        <xdr:cNvPr id="11" name="Picture 10"/>
        <xdr:cNvPicPr>
          <a:picLocks noChangeAspect="1"/>
        </xdr:cNvPicPr>
      </xdr:nvPicPr>
      <xdr:blipFill>
        <a:blip xmlns:r="http://schemas.openxmlformats.org/officeDocument/2006/relationships" r:embed="rId5"/>
        <a:stretch>
          <a:fillRect/>
        </a:stretch>
      </xdr:blipFill>
      <xdr:spPr>
        <a:xfrm>
          <a:off x="466725" y="25546050"/>
          <a:ext cx="4733334" cy="1809524"/>
        </a:xfrm>
        <a:prstGeom prst="rect">
          <a:avLst/>
        </a:prstGeom>
      </xdr:spPr>
    </xdr:pic>
    <xdr:clientData/>
  </xdr:twoCellAnchor>
  <xdr:twoCellAnchor editAs="oneCell">
    <xdr:from>
      <xdr:col>2</xdr:col>
      <xdr:colOff>0</xdr:colOff>
      <xdr:row>153</xdr:row>
      <xdr:rowOff>0</xdr:rowOff>
    </xdr:from>
    <xdr:to>
      <xdr:col>14</xdr:col>
      <xdr:colOff>246814</xdr:colOff>
      <xdr:row>163</xdr:row>
      <xdr:rowOff>95000</xdr:rowOff>
    </xdr:to>
    <xdr:pic>
      <xdr:nvPicPr>
        <xdr:cNvPr id="21" name="Picture 20"/>
        <xdr:cNvPicPr>
          <a:picLocks noChangeAspect="1"/>
        </xdr:cNvPicPr>
      </xdr:nvPicPr>
      <xdr:blipFill>
        <a:blip xmlns:r="http://schemas.openxmlformats.org/officeDocument/2006/relationships" r:embed="rId6"/>
        <a:stretch>
          <a:fillRect/>
        </a:stretch>
      </xdr:blipFill>
      <xdr:spPr>
        <a:xfrm>
          <a:off x="485775" y="29603700"/>
          <a:ext cx="6695239" cy="2000000"/>
        </a:xfrm>
        <a:prstGeom prst="rect">
          <a:avLst/>
        </a:prstGeom>
      </xdr:spPr>
    </xdr:pic>
    <xdr:clientData/>
  </xdr:twoCellAnchor>
  <xdr:twoCellAnchor editAs="oneCell">
    <xdr:from>
      <xdr:col>14</xdr:col>
      <xdr:colOff>542925</xdr:colOff>
      <xdr:row>153</xdr:row>
      <xdr:rowOff>9525</xdr:rowOff>
    </xdr:from>
    <xdr:to>
      <xdr:col>22</xdr:col>
      <xdr:colOff>37554</xdr:colOff>
      <xdr:row>159</xdr:row>
      <xdr:rowOff>180811</xdr:rowOff>
    </xdr:to>
    <xdr:pic>
      <xdr:nvPicPr>
        <xdr:cNvPr id="22" name="Picture 21"/>
        <xdr:cNvPicPr>
          <a:picLocks noChangeAspect="1"/>
        </xdr:cNvPicPr>
      </xdr:nvPicPr>
      <xdr:blipFill>
        <a:blip xmlns:r="http://schemas.openxmlformats.org/officeDocument/2006/relationships" r:embed="rId7"/>
        <a:stretch>
          <a:fillRect/>
        </a:stretch>
      </xdr:blipFill>
      <xdr:spPr>
        <a:xfrm>
          <a:off x="7477125" y="29613225"/>
          <a:ext cx="4371429" cy="1314286"/>
        </a:xfrm>
        <a:prstGeom prst="rect">
          <a:avLst/>
        </a:prstGeom>
      </xdr:spPr>
    </xdr:pic>
    <xdr:clientData/>
  </xdr:twoCellAnchor>
  <xdr:twoCellAnchor editAs="oneCell">
    <xdr:from>
      <xdr:col>2</xdr:col>
      <xdr:colOff>0</xdr:colOff>
      <xdr:row>176</xdr:row>
      <xdr:rowOff>0</xdr:rowOff>
    </xdr:from>
    <xdr:to>
      <xdr:col>12</xdr:col>
      <xdr:colOff>294585</xdr:colOff>
      <xdr:row>185</xdr:row>
      <xdr:rowOff>133119</xdr:rowOff>
    </xdr:to>
    <xdr:pic>
      <xdr:nvPicPr>
        <xdr:cNvPr id="23" name="Picture 22"/>
        <xdr:cNvPicPr>
          <a:picLocks noChangeAspect="1"/>
        </xdr:cNvPicPr>
      </xdr:nvPicPr>
      <xdr:blipFill>
        <a:blip xmlns:r="http://schemas.openxmlformats.org/officeDocument/2006/relationships" r:embed="rId8"/>
        <a:stretch>
          <a:fillRect/>
        </a:stretch>
      </xdr:blipFill>
      <xdr:spPr>
        <a:xfrm>
          <a:off x="485775" y="33985200"/>
          <a:ext cx="5523810" cy="1847619"/>
        </a:xfrm>
        <a:prstGeom prst="rect">
          <a:avLst/>
        </a:prstGeom>
      </xdr:spPr>
    </xdr:pic>
    <xdr:clientData/>
  </xdr:twoCellAnchor>
  <xdr:twoCellAnchor editAs="oneCell">
    <xdr:from>
      <xdr:col>13</xdr:col>
      <xdr:colOff>0</xdr:colOff>
      <xdr:row>176</xdr:row>
      <xdr:rowOff>0</xdr:rowOff>
    </xdr:from>
    <xdr:to>
      <xdr:col>17</xdr:col>
      <xdr:colOff>190172</xdr:colOff>
      <xdr:row>183</xdr:row>
      <xdr:rowOff>152214</xdr:rowOff>
    </xdr:to>
    <xdr:pic>
      <xdr:nvPicPr>
        <xdr:cNvPr id="24" name="Picture 23"/>
        <xdr:cNvPicPr>
          <a:picLocks noChangeAspect="1"/>
        </xdr:cNvPicPr>
      </xdr:nvPicPr>
      <xdr:blipFill>
        <a:blip xmlns:r="http://schemas.openxmlformats.org/officeDocument/2006/relationships" r:embed="rId9"/>
        <a:stretch>
          <a:fillRect/>
        </a:stretch>
      </xdr:blipFill>
      <xdr:spPr>
        <a:xfrm>
          <a:off x="6324600" y="33985200"/>
          <a:ext cx="2628572" cy="1485714"/>
        </a:xfrm>
        <a:prstGeom prst="rect">
          <a:avLst/>
        </a:prstGeom>
      </xdr:spPr>
    </xdr:pic>
    <xdr:clientData/>
  </xdr:twoCellAnchor>
  <xdr:twoCellAnchor editAs="oneCell">
    <xdr:from>
      <xdr:col>2</xdr:col>
      <xdr:colOff>0</xdr:colOff>
      <xdr:row>26</xdr:row>
      <xdr:rowOff>0</xdr:rowOff>
    </xdr:from>
    <xdr:to>
      <xdr:col>12</xdr:col>
      <xdr:colOff>85061</xdr:colOff>
      <xdr:row>46</xdr:row>
      <xdr:rowOff>190000</xdr:rowOff>
    </xdr:to>
    <xdr:pic>
      <xdr:nvPicPr>
        <xdr:cNvPr id="26" name="Picture 25"/>
        <xdr:cNvPicPr>
          <a:picLocks noChangeAspect="1"/>
        </xdr:cNvPicPr>
      </xdr:nvPicPr>
      <xdr:blipFill>
        <a:blip xmlns:r="http://schemas.openxmlformats.org/officeDocument/2006/relationships" r:embed="rId10"/>
        <a:stretch>
          <a:fillRect/>
        </a:stretch>
      </xdr:blipFill>
      <xdr:spPr>
        <a:xfrm>
          <a:off x="485775" y="5029200"/>
          <a:ext cx="5314286" cy="40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175260</xdr:colOff>
          <xdr:row>15</xdr:row>
          <xdr:rowOff>0</xdr:rowOff>
        </xdr:from>
        <xdr:to>
          <xdr:col>4</xdr:col>
          <xdr:colOff>38100</xdr:colOff>
          <xdr:row>16</xdr:row>
          <xdr:rowOff>7620</xdr:rowOff>
        </xdr:to>
        <xdr:sp macro="" textlink="">
          <xdr:nvSpPr>
            <xdr:cNvPr id="15361" name="Check Box 1" hidden="1">
              <a:extLst>
                <a:ext uri="{63B3BB69-23CF-44E3-9099-C40C66FF867C}">
                  <a14:compatExt spid="_x0000_s15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175260</xdr:colOff>
          <xdr:row>15</xdr:row>
          <xdr:rowOff>182880</xdr:rowOff>
        </xdr:from>
        <xdr:to>
          <xdr:col>4</xdr:col>
          <xdr:colOff>38100</xdr:colOff>
          <xdr:row>17</xdr:row>
          <xdr:rowOff>0</xdr:rowOff>
        </xdr:to>
        <xdr:sp macro="" textlink="">
          <xdr:nvSpPr>
            <xdr:cNvPr id="15362" name="Check Box 2" hidden="1">
              <a:extLst>
                <a:ext uri="{63B3BB69-23CF-44E3-9099-C40C66FF867C}">
                  <a14:compatExt spid="_x0000_s15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175260</xdr:colOff>
          <xdr:row>16</xdr:row>
          <xdr:rowOff>182880</xdr:rowOff>
        </xdr:from>
        <xdr:to>
          <xdr:col>4</xdr:col>
          <xdr:colOff>38100</xdr:colOff>
          <xdr:row>18</xdr:row>
          <xdr:rowOff>0</xdr:rowOff>
        </xdr:to>
        <xdr:sp macro="" textlink="">
          <xdr:nvSpPr>
            <xdr:cNvPr id="15363" name="Check Box 3" hidden="1">
              <a:extLst>
                <a:ext uri="{63B3BB69-23CF-44E3-9099-C40C66FF867C}">
                  <a14:compatExt spid="_x0000_s15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175260</xdr:colOff>
          <xdr:row>17</xdr:row>
          <xdr:rowOff>182880</xdr:rowOff>
        </xdr:from>
        <xdr:to>
          <xdr:col>4</xdr:col>
          <xdr:colOff>38100</xdr:colOff>
          <xdr:row>19</xdr:row>
          <xdr:rowOff>0</xdr:rowOff>
        </xdr:to>
        <xdr:sp macro="" textlink="">
          <xdr:nvSpPr>
            <xdr:cNvPr id="15364" name="Check Box 4" hidden="1">
              <a:extLst>
                <a:ext uri="{63B3BB69-23CF-44E3-9099-C40C66FF867C}">
                  <a14:compatExt spid="_x0000_s15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175260</xdr:colOff>
          <xdr:row>18</xdr:row>
          <xdr:rowOff>182880</xdr:rowOff>
        </xdr:from>
        <xdr:to>
          <xdr:col>4</xdr:col>
          <xdr:colOff>38100</xdr:colOff>
          <xdr:row>20</xdr:row>
          <xdr:rowOff>0</xdr:rowOff>
        </xdr:to>
        <xdr:sp macro="" textlink="">
          <xdr:nvSpPr>
            <xdr:cNvPr id="15366" name="Check Box 6" hidden="1">
              <a:extLst>
                <a:ext uri="{63B3BB69-23CF-44E3-9099-C40C66FF867C}">
                  <a14:compatExt spid="_x0000_s15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175260</xdr:colOff>
          <xdr:row>19</xdr:row>
          <xdr:rowOff>182880</xdr:rowOff>
        </xdr:from>
        <xdr:to>
          <xdr:col>4</xdr:col>
          <xdr:colOff>38100</xdr:colOff>
          <xdr:row>21</xdr:row>
          <xdr:rowOff>0</xdr:rowOff>
        </xdr:to>
        <xdr:sp macro="" textlink="">
          <xdr:nvSpPr>
            <xdr:cNvPr id="15368" name="Check Box 8" hidden="1">
              <a:extLst>
                <a:ext uri="{63B3BB69-23CF-44E3-9099-C40C66FF867C}">
                  <a14:compatExt spid="_x0000_s15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20</xdr:row>
          <xdr:rowOff>182880</xdr:rowOff>
        </xdr:from>
        <xdr:to>
          <xdr:col>4</xdr:col>
          <xdr:colOff>45720</xdr:colOff>
          <xdr:row>22</xdr:row>
          <xdr:rowOff>0</xdr:rowOff>
        </xdr:to>
        <xdr:sp macro="" textlink="">
          <xdr:nvSpPr>
            <xdr:cNvPr id="15370" name="Check Box 10" hidden="1">
              <a:extLst>
                <a:ext uri="{63B3BB69-23CF-44E3-9099-C40C66FF867C}">
                  <a14:compatExt spid="_x0000_s15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15</xdr:row>
          <xdr:rowOff>0</xdr:rowOff>
        </xdr:from>
        <xdr:to>
          <xdr:col>7</xdr:col>
          <xdr:colOff>502920</xdr:colOff>
          <xdr:row>16</xdr:row>
          <xdr:rowOff>7620</xdr:rowOff>
        </xdr:to>
        <xdr:sp macro="" textlink="">
          <xdr:nvSpPr>
            <xdr:cNvPr id="15372" name="Check Box 12" hidden="1">
              <a:extLst>
                <a:ext uri="{63B3BB69-23CF-44E3-9099-C40C66FF867C}">
                  <a14:compatExt spid="_x0000_s15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15</xdr:row>
          <xdr:rowOff>182880</xdr:rowOff>
        </xdr:from>
        <xdr:to>
          <xdr:col>7</xdr:col>
          <xdr:colOff>502920</xdr:colOff>
          <xdr:row>17</xdr:row>
          <xdr:rowOff>0</xdr:rowOff>
        </xdr:to>
        <xdr:sp macro="" textlink="">
          <xdr:nvSpPr>
            <xdr:cNvPr id="15373" name="Check Box 13" hidden="1">
              <a:extLst>
                <a:ext uri="{63B3BB69-23CF-44E3-9099-C40C66FF867C}">
                  <a14:compatExt spid="_x0000_s15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16</xdr:row>
          <xdr:rowOff>182880</xdr:rowOff>
        </xdr:from>
        <xdr:to>
          <xdr:col>7</xdr:col>
          <xdr:colOff>502920</xdr:colOff>
          <xdr:row>18</xdr:row>
          <xdr:rowOff>0</xdr:rowOff>
        </xdr:to>
        <xdr:sp macro="" textlink="">
          <xdr:nvSpPr>
            <xdr:cNvPr id="15374" name="Check Box 14" hidden="1">
              <a:extLst>
                <a:ext uri="{63B3BB69-23CF-44E3-9099-C40C66FF867C}">
                  <a14:compatExt spid="_x0000_s15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17</xdr:row>
          <xdr:rowOff>182880</xdr:rowOff>
        </xdr:from>
        <xdr:to>
          <xdr:col>7</xdr:col>
          <xdr:colOff>502920</xdr:colOff>
          <xdr:row>19</xdr:row>
          <xdr:rowOff>0</xdr:rowOff>
        </xdr:to>
        <xdr:sp macro="" textlink="">
          <xdr:nvSpPr>
            <xdr:cNvPr id="15375" name="Check Box 15" hidden="1">
              <a:extLst>
                <a:ext uri="{63B3BB69-23CF-44E3-9099-C40C66FF867C}">
                  <a14:compatExt spid="_x0000_s15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18</xdr:row>
          <xdr:rowOff>182880</xdr:rowOff>
        </xdr:from>
        <xdr:to>
          <xdr:col>7</xdr:col>
          <xdr:colOff>502920</xdr:colOff>
          <xdr:row>20</xdr:row>
          <xdr:rowOff>0</xdr:rowOff>
        </xdr:to>
        <xdr:sp macro="" textlink="">
          <xdr:nvSpPr>
            <xdr:cNvPr id="15377" name="Check Box 17" hidden="1">
              <a:extLst>
                <a:ext uri="{63B3BB69-23CF-44E3-9099-C40C66FF867C}">
                  <a14:compatExt spid="_x0000_s15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19</xdr:row>
          <xdr:rowOff>182880</xdr:rowOff>
        </xdr:from>
        <xdr:to>
          <xdr:col>7</xdr:col>
          <xdr:colOff>502920</xdr:colOff>
          <xdr:row>21</xdr:row>
          <xdr:rowOff>0</xdr:rowOff>
        </xdr:to>
        <xdr:sp macro="" textlink="">
          <xdr:nvSpPr>
            <xdr:cNvPr id="15379" name="Check Box 19" hidden="1">
              <a:extLst>
                <a:ext uri="{63B3BB69-23CF-44E3-9099-C40C66FF867C}">
                  <a14:compatExt spid="_x0000_s15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20</xdr:row>
          <xdr:rowOff>182880</xdr:rowOff>
        </xdr:from>
        <xdr:to>
          <xdr:col>7</xdr:col>
          <xdr:colOff>502920</xdr:colOff>
          <xdr:row>22</xdr:row>
          <xdr:rowOff>0</xdr:rowOff>
        </xdr:to>
        <xdr:sp macro="" textlink="">
          <xdr:nvSpPr>
            <xdr:cNvPr id="15381" name="Check Box 21" hidden="1">
              <a:extLst>
                <a:ext uri="{63B3BB69-23CF-44E3-9099-C40C66FF867C}">
                  <a14:compatExt spid="_x0000_s15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175260</xdr:colOff>
          <xdr:row>15</xdr:row>
          <xdr:rowOff>0</xdr:rowOff>
        </xdr:from>
        <xdr:to>
          <xdr:col>14</xdr:col>
          <xdr:colOff>38100</xdr:colOff>
          <xdr:row>16</xdr:row>
          <xdr:rowOff>7620</xdr:rowOff>
        </xdr:to>
        <xdr:sp macro="" textlink="">
          <xdr:nvSpPr>
            <xdr:cNvPr id="15383" name="Check Box 23" hidden="1">
              <a:extLst>
                <a:ext uri="{63B3BB69-23CF-44E3-9099-C40C66FF867C}">
                  <a14:compatExt spid="_x0000_s15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175260</xdr:colOff>
          <xdr:row>15</xdr:row>
          <xdr:rowOff>182880</xdr:rowOff>
        </xdr:from>
        <xdr:to>
          <xdr:col>14</xdr:col>
          <xdr:colOff>38100</xdr:colOff>
          <xdr:row>17</xdr:row>
          <xdr:rowOff>0</xdr:rowOff>
        </xdr:to>
        <xdr:sp macro="" textlink="">
          <xdr:nvSpPr>
            <xdr:cNvPr id="15384" name="Check Box 24" hidden="1">
              <a:extLst>
                <a:ext uri="{63B3BB69-23CF-44E3-9099-C40C66FF867C}">
                  <a14:compatExt spid="_x0000_s15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175260</xdr:colOff>
          <xdr:row>16</xdr:row>
          <xdr:rowOff>182880</xdr:rowOff>
        </xdr:from>
        <xdr:to>
          <xdr:col>14</xdr:col>
          <xdr:colOff>38100</xdr:colOff>
          <xdr:row>18</xdr:row>
          <xdr:rowOff>0</xdr:rowOff>
        </xdr:to>
        <xdr:sp macro="" textlink="">
          <xdr:nvSpPr>
            <xdr:cNvPr id="15385" name="Check Box 25" hidden="1">
              <a:extLst>
                <a:ext uri="{63B3BB69-23CF-44E3-9099-C40C66FF867C}">
                  <a14:compatExt spid="_x0000_s15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175260</xdr:colOff>
          <xdr:row>17</xdr:row>
          <xdr:rowOff>182880</xdr:rowOff>
        </xdr:from>
        <xdr:to>
          <xdr:col>14</xdr:col>
          <xdr:colOff>38100</xdr:colOff>
          <xdr:row>19</xdr:row>
          <xdr:rowOff>0</xdr:rowOff>
        </xdr:to>
        <xdr:sp macro="" textlink="">
          <xdr:nvSpPr>
            <xdr:cNvPr id="15386" name="Check Box 26" hidden="1">
              <a:extLst>
                <a:ext uri="{63B3BB69-23CF-44E3-9099-C40C66FF867C}">
                  <a14:compatExt spid="_x0000_s15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175260</xdr:colOff>
          <xdr:row>18</xdr:row>
          <xdr:rowOff>182880</xdr:rowOff>
        </xdr:from>
        <xdr:to>
          <xdr:col>14</xdr:col>
          <xdr:colOff>38100</xdr:colOff>
          <xdr:row>20</xdr:row>
          <xdr:rowOff>0</xdr:rowOff>
        </xdr:to>
        <xdr:sp macro="" textlink="">
          <xdr:nvSpPr>
            <xdr:cNvPr id="15388" name="Check Box 28" hidden="1">
              <a:extLst>
                <a:ext uri="{63B3BB69-23CF-44E3-9099-C40C66FF867C}">
                  <a14:compatExt spid="_x0000_s15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175260</xdr:colOff>
          <xdr:row>19</xdr:row>
          <xdr:rowOff>182880</xdr:rowOff>
        </xdr:from>
        <xdr:to>
          <xdr:col>14</xdr:col>
          <xdr:colOff>38100</xdr:colOff>
          <xdr:row>21</xdr:row>
          <xdr:rowOff>0</xdr:rowOff>
        </xdr:to>
        <xdr:sp macro="" textlink="">
          <xdr:nvSpPr>
            <xdr:cNvPr id="15390" name="Check Box 30" hidden="1">
              <a:extLst>
                <a:ext uri="{63B3BB69-23CF-44E3-9099-C40C66FF867C}">
                  <a14:compatExt spid="_x0000_s15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175260</xdr:colOff>
          <xdr:row>20</xdr:row>
          <xdr:rowOff>182880</xdr:rowOff>
        </xdr:from>
        <xdr:to>
          <xdr:col>14</xdr:col>
          <xdr:colOff>38100</xdr:colOff>
          <xdr:row>22</xdr:row>
          <xdr:rowOff>0</xdr:rowOff>
        </xdr:to>
        <xdr:sp macro="" textlink="">
          <xdr:nvSpPr>
            <xdr:cNvPr id="15392" name="Check Box 32" hidden="1">
              <a:extLst>
                <a:ext uri="{63B3BB69-23CF-44E3-9099-C40C66FF867C}">
                  <a14:compatExt spid="_x0000_s15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15</xdr:row>
          <xdr:rowOff>0</xdr:rowOff>
        </xdr:from>
        <xdr:to>
          <xdr:col>19</xdr:col>
          <xdr:colOff>38100</xdr:colOff>
          <xdr:row>16</xdr:row>
          <xdr:rowOff>7620</xdr:rowOff>
        </xdr:to>
        <xdr:sp macro="" textlink="">
          <xdr:nvSpPr>
            <xdr:cNvPr id="15394" name="Check Box 34" hidden="1">
              <a:extLst>
                <a:ext uri="{63B3BB69-23CF-44E3-9099-C40C66FF867C}">
                  <a14:compatExt spid="_x0000_s15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15</xdr:row>
          <xdr:rowOff>182880</xdr:rowOff>
        </xdr:from>
        <xdr:to>
          <xdr:col>19</xdr:col>
          <xdr:colOff>38100</xdr:colOff>
          <xdr:row>17</xdr:row>
          <xdr:rowOff>0</xdr:rowOff>
        </xdr:to>
        <xdr:sp macro="" textlink="">
          <xdr:nvSpPr>
            <xdr:cNvPr id="15395" name="Check Box 35" hidden="1">
              <a:extLst>
                <a:ext uri="{63B3BB69-23CF-44E3-9099-C40C66FF867C}">
                  <a14:compatExt spid="_x0000_s15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16</xdr:row>
          <xdr:rowOff>182880</xdr:rowOff>
        </xdr:from>
        <xdr:to>
          <xdr:col>19</xdr:col>
          <xdr:colOff>38100</xdr:colOff>
          <xdr:row>18</xdr:row>
          <xdr:rowOff>0</xdr:rowOff>
        </xdr:to>
        <xdr:sp macro="" textlink="">
          <xdr:nvSpPr>
            <xdr:cNvPr id="15396" name="Check Box 36" hidden="1">
              <a:extLst>
                <a:ext uri="{63B3BB69-23CF-44E3-9099-C40C66FF867C}">
                  <a14:compatExt spid="_x0000_s15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17</xdr:row>
          <xdr:rowOff>182880</xdr:rowOff>
        </xdr:from>
        <xdr:to>
          <xdr:col>19</xdr:col>
          <xdr:colOff>38100</xdr:colOff>
          <xdr:row>19</xdr:row>
          <xdr:rowOff>0</xdr:rowOff>
        </xdr:to>
        <xdr:sp macro="" textlink="">
          <xdr:nvSpPr>
            <xdr:cNvPr id="15397" name="Check Box 37" hidden="1">
              <a:extLst>
                <a:ext uri="{63B3BB69-23CF-44E3-9099-C40C66FF867C}">
                  <a14:compatExt spid="_x0000_s15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18</xdr:row>
          <xdr:rowOff>182880</xdr:rowOff>
        </xdr:from>
        <xdr:to>
          <xdr:col>19</xdr:col>
          <xdr:colOff>38100</xdr:colOff>
          <xdr:row>20</xdr:row>
          <xdr:rowOff>0</xdr:rowOff>
        </xdr:to>
        <xdr:sp macro="" textlink="">
          <xdr:nvSpPr>
            <xdr:cNvPr id="15399" name="Check Box 39" hidden="1">
              <a:extLst>
                <a:ext uri="{63B3BB69-23CF-44E3-9099-C40C66FF867C}">
                  <a14:compatExt spid="_x0000_s15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19</xdr:row>
          <xdr:rowOff>182880</xdr:rowOff>
        </xdr:from>
        <xdr:to>
          <xdr:col>19</xdr:col>
          <xdr:colOff>38100</xdr:colOff>
          <xdr:row>21</xdr:row>
          <xdr:rowOff>0</xdr:rowOff>
        </xdr:to>
        <xdr:sp macro="" textlink="">
          <xdr:nvSpPr>
            <xdr:cNvPr id="15401" name="Check Box 41" hidden="1">
              <a:extLst>
                <a:ext uri="{63B3BB69-23CF-44E3-9099-C40C66FF867C}">
                  <a14:compatExt spid="_x0000_s15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20</xdr:row>
          <xdr:rowOff>182880</xdr:rowOff>
        </xdr:from>
        <xdr:to>
          <xdr:col>19</xdr:col>
          <xdr:colOff>38100</xdr:colOff>
          <xdr:row>22</xdr:row>
          <xdr:rowOff>0</xdr:rowOff>
        </xdr:to>
        <xdr:sp macro="" textlink="">
          <xdr:nvSpPr>
            <xdr:cNvPr id="15403" name="Check Box 43" hidden="1">
              <a:extLst>
                <a:ext uri="{63B3BB69-23CF-44E3-9099-C40C66FF867C}">
                  <a14:compatExt spid="_x0000_s15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175260</xdr:colOff>
          <xdr:row>15</xdr:row>
          <xdr:rowOff>0</xdr:rowOff>
        </xdr:from>
        <xdr:to>
          <xdr:col>24</xdr:col>
          <xdr:colOff>38100</xdr:colOff>
          <xdr:row>16</xdr:row>
          <xdr:rowOff>7620</xdr:rowOff>
        </xdr:to>
        <xdr:sp macro="" textlink="">
          <xdr:nvSpPr>
            <xdr:cNvPr id="15405" name="Check Box 45" hidden="1">
              <a:extLst>
                <a:ext uri="{63B3BB69-23CF-44E3-9099-C40C66FF867C}">
                  <a14:compatExt spid="_x0000_s15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175260</xdr:colOff>
          <xdr:row>15</xdr:row>
          <xdr:rowOff>182880</xdr:rowOff>
        </xdr:from>
        <xdr:to>
          <xdr:col>24</xdr:col>
          <xdr:colOff>38100</xdr:colOff>
          <xdr:row>17</xdr:row>
          <xdr:rowOff>0</xdr:rowOff>
        </xdr:to>
        <xdr:sp macro="" textlink="">
          <xdr:nvSpPr>
            <xdr:cNvPr id="15406" name="Check Box 46" hidden="1">
              <a:extLst>
                <a:ext uri="{63B3BB69-23CF-44E3-9099-C40C66FF867C}">
                  <a14:compatExt spid="_x0000_s15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175260</xdr:colOff>
          <xdr:row>16</xdr:row>
          <xdr:rowOff>182880</xdr:rowOff>
        </xdr:from>
        <xdr:to>
          <xdr:col>24</xdr:col>
          <xdr:colOff>38100</xdr:colOff>
          <xdr:row>18</xdr:row>
          <xdr:rowOff>0</xdr:rowOff>
        </xdr:to>
        <xdr:sp macro="" textlink="">
          <xdr:nvSpPr>
            <xdr:cNvPr id="15407" name="Check Box 47" hidden="1">
              <a:extLst>
                <a:ext uri="{63B3BB69-23CF-44E3-9099-C40C66FF867C}">
                  <a14:compatExt spid="_x0000_s15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175260</xdr:colOff>
          <xdr:row>17</xdr:row>
          <xdr:rowOff>182880</xdr:rowOff>
        </xdr:from>
        <xdr:to>
          <xdr:col>24</xdr:col>
          <xdr:colOff>38100</xdr:colOff>
          <xdr:row>19</xdr:row>
          <xdr:rowOff>0</xdr:rowOff>
        </xdr:to>
        <xdr:sp macro="" textlink="">
          <xdr:nvSpPr>
            <xdr:cNvPr id="15408" name="Check Box 48" hidden="1">
              <a:extLst>
                <a:ext uri="{63B3BB69-23CF-44E3-9099-C40C66FF867C}">
                  <a14:compatExt spid="_x0000_s15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175260</xdr:colOff>
          <xdr:row>18</xdr:row>
          <xdr:rowOff>182880</xdr:rowOff>
        </xdr:from>
        <xdr:to>
          <xdr:col>24</xdr:col>
          <xdr:colOff>38100</xdr:colOff>
          <xdr:row>20</xdr:row>
          <xdr:rowOff>0</xdr:rowOff>
        </xdr:to>
        <xdr:sp macro="" textlink="">
          <xdr:nvSpPr>
            <xdr:cNvPr id="15410" name="Check Box 50" hidden="1">
              <a:extLst>
                <a:ext uri="{63B3BB69-23CF-44E3-9099-C40C66FF867C}">
                  <a14:compatExt spid="_x0000_s15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175260</xdr:colOff>
          <xdr:row>19</xdr:row>
          <xdr:rowOff>182880</xdr:rowOff>
        </xdr:from>
        <xdr:to>
          <xdr:col>24</xdr:col>
          <xdr:colOff>38100</xdr:colOff>
          <xdr:row>21</xdr:row>
          <xdr:rowOff>0</xdr:rowOff>
        </xdr:to>
        <xdr:sp macro="" textlink="">
          <xdr:nvSpPr>
            <xdr:cNvPr id="15412" name="Check Box 52" hidden="1">
              <a:extLst>
                <a:ext uri="{63B3BB69-23CF-44E3-9099-C40C66FF867C}">
                  <a14:compatExt spid="_x0000_s15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175260</xdr:colOff>
          <xdr:row>20</xdr:row>
          <xdr:rowOff>182880</xdr:rowOff>
        </xdr:from>
        <xdr:to>
          <xdr:col>24</xdr:col>
          <xdr:colOff>38100</xdr:colOff>
          <xdr:row>22</xdr:row>
          <xdr:rowOff>0</xdr:rowOff>
        </xdr:to>
        <xdr:sp macro="" textlink="">
          <xdr:nvSpPr>
            <xdr:cNvPr id="15414" name="Check Box 54" hidden="1">
              <a:extLst>
                <a:ext uri="{63B3BB69-23CF-44E3-9099-C40C66FF867C}">
                  <a14:compatExt spid="_x0000_s15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15</xdr:row>
          <xdr:rowOff>0</xdr:rowOff>
        </xdr:from>
        <xdr:to>
          <xdr:col>29</xdr:col>
          <xdr:colOff>38100</xdr:colOff>
          <xdr:row>16</xdr:row>
          <xdr:rowOff>7620</xdr:rowOff>
        </xdr:to>
        <xdr:sp macro="" textlink="">
          <xdr:nvSpPr>
            <xdr:cNvPr id="15416" name="Check Box 56" hidden="1">
              <a:extLst>
                <a:ext uri="{63B3BB69-23CF-44E3-9099-C40C66FF867C}">
                  <a14:compatExt spid="_x0000_s15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15</xdr:row>
          <xdr:rowOff>182880</xdr:rowOff>
        </xdr:from>
        <xdr:to>
          <xdr:col>29</xdr:col>
          <xdr:colOff>38100</xdr:colOff>
          <xdr:row>17</xdr:row>
          <xdr:rowOff>0</xdr:rowOff>
        </xdr:to>
        <xdr:sp macro="" textlink="">
          <xdr:nvSpPr>
            <xdr:cNvPr id="15417" name="Check Box 57" hidden="1">
              <a:extLst>
                <a:ext uri="{63B3BB69-23CF-44E3-9099-C40C66FF867C}">
                  <a14:compatExt spid="_x0000_s15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16</xdr:row>
          <xdr:rowOff>182880</xdr:rowOff>
        </xdr:from>
        <xdr:to>
          <xdr:col>29</xdr:col>
          <xdr:colOff>38100</xdr:colOff>
          <xdr:row>18</xdr:row>
          <xdr:rowOff>0</xdr:rowOff>
        </xdr:to>
        <xdr:sp macro="" textlink="">
          <xdr:nvSpPr>
            <xdr:cNvPr id="15418" name="Check Box 58" hidden="1">
              <a:extLst>
                <a:ext uri="{63B3BB69-23CF-44E3-9099-C40C66FF867C}">
                  <a14:compatExt spid="_x0000_s15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17</xdr:row>
          <xdr:rowOff>182880</xdr:rowOff>
        </xdr:from>
        <xdr:to>
          <xdr:col>29</xdr:col>
          <xdr:colOff>38100</xdr:colOff>
          <xdr:row>19</xdr:row>
          <xdr:rowOff>0</xdr:rowOff>
        </xdr:to>
        <xdr:sp macro="" textlink="">
          <xdr:nvSpPr>
            <xdr:cNvPr id="15419" name="Check Box 59" hidden="1">
              <a:extLst>
                <a:ext uri="{63B3BB69-23CF-44E3-9099-C40C66FF867C}">
                  <a14:compatExt spid="_x0000_s15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18</xdr:row>
          <xdr:rowOff>182880</xdr:rowOff>
        </xdr:from>
        <xdr:to>
          <xdr:col>29</xdr:col>
          <xdr:colOff>38100</xdr:colOff>
          <xdr:row>20</xdr:row>
          <xdr:rowOff>0</xdr:rowOff>
        </xdr:to>
        <xdr:sp macro="" textlink="">
          <xdr:nvSpPr>
            <xdr:cNvPr id="15421" name="Check Box 61" hidden="1">
              <a:extLst>
                <a:ext uri="{63B3BB69-23CF-44E3-9099-C40C66FF867C}">
                  <a14:compatExt spid="_x0000_s15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19</xdr:row>
          <xdr:rowOff>182880</xdr:rowOff>
        </xdr:from>
        <xdr:to>
          <xdr:col>29</xdr:col>
          <xdr:colOff>38100</xdr:colOff>
          <xdr:row>21</xdr:row>
          <xdr:rowOff>0</xdr:rowOff>
        </xdr:to>
        <xdr:sp macro="" textlink="">
          <xdr:nvSpPr>
            <xdr:cNvPr id="15423" name="Check Box 63" hidden="1">
              <a:extLst>
                <a:ext uri="{63B3BB69-23CF-44E3-9099-C40C66FF867C}">
                  <a14:compatExt spid="_x0000_s15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20</xdr:row>
          <xdr:rowOff>182880</xdr:rowOff>
        </xdr:from>
        <xdr:to>
          <xdr:col>29</xdr:col>
          <xdr:colOff>38100</xdr:colOff>
          <xdr:row>22</xdr:row>
          <xdr:rowOff>0</xdr:rowOff>
        </xdr:to>
        <xdr:sp macro="" textlink="">
          <xdr:nvSpPr>
            <xdr:cNvPr id="15425" name="Check Box 65" hidden="1">
              <a:extLst>
                <a:ext uri="{63B3BB69-23CF-44E3-9099-C40C66FF867C}">
                  <a14:compatExt spid="_x0000_s15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175260</xdr:colOff>
          <xdr:row>15</xdr:row>
          <xdr:rowOff>0</xdr:rowOff>
        </xdr:from>
        <xdr:to>
          <xdr:col>34</xdr:col>
          <xdr:colOff>38100</xdr:colOff>
          <xdr:row>16</xdr:row>
          <xdr:rowOff>7620</xdr:rowOff>
        </xdr:to>
        <xdr:sp macro="" textlink="">
          <xdr:nvSpPr>
            <xdr:cNvPr id="15427" name="Check Box 67" hidden="1">
              <a:extLst>
                <a:ext uri="{63B3BB69-23CF-44E3-9099-C40C66FF867C}">
                  <a14:compatExt spid="_x0000_s15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175260</xdr:colOff>
          <xdr:row>15</xdr:row>
          <xdr:rowOff>182880</xdr:rowOff>
        </xdr:from>
        <xdr:to>
          <xdr:col>34</xdr:col>
          <xdr:colOff>38100</xdr:colOff>
          <xdr:row>17</xdr:row>
          <xdr:rowOff>0</xdr:rowOff>
        </xdr:to>
        <xdr:sp macro="" textlink="">
          <xdr:nvSpPr>
            <xdr:cNvPr id="15428" name="Check Box 68" hidden="1">
              <a:extLst>
                <a:ext uri="{63B3BB69-23CF-44E3-9099-C40C66FF867C}">
                  <a14:compatExt spid="_x0000_s15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175260</xdr:colOff>
          <xdr:row>16</xdr:row>
          <xdr:rowOff>182880</xdr:rowOff>
        </xdr:from>
        <xdr:to>
          <xdr:col>34</xdr:col>
          <xdr:colOff>38100</xdr:colOff>
          <xdr:row>18</xdr:row>
          <xdr:rowOff>0</xdr:rowOff>
        </xdr:to>
        <xdr:sp macro="" textlink="">
          <xdr:nvSpPr>
            <xdr:cNvPr id="15429" name="Check Box 69" hidden="1">
              <a:extLst>
                <a:ext uri="{63B3BB69-23CF-44E3-9099-C40C66FF867C}">
                  <a14:compatExt spid="_x0000_s15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175260</xdr:colOff>
          <xdr:row>17</xdr:row>
          <xdr:rowOff>182880</xdr:rowOff>
        </xdr:from>
        <xdr:to>
          <xdr:col>34</xdr:col>
          <xdr:colOff>38100</xdr:colOff>
          <xdr:row>19</xdr:row>
          <xdr:rowOff>0</xdr:rowOff>
        </xdr:to>
        <xdr:sp macro="" textlink="">
          <xdr:nvSpPr>
            <xdr:cNvPr id="15430" name="Check Box 70" hidden="1">
              <a:extLst>
                <a:ext uri="{63B3BB69-23CF-44E3-9099-C40C66FF867C}">
                  <a14:compatExt spid="_x0000_s15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175260</xdr:colOff>
          <xdr:row>18</xdr:row>
          <xdr:rowOff>182880</xdr:rowOff>
        </xdr:from>
        <xdr:to>
          <xdr:col>34</xdr:col>
          <xdr:colOff>38100</xdr:colOff>
          <xdr:row>20</xdr:row>
          <xdr:rowOff>0</xdr:rowOff>
        </xdr:to>
        <xdr:sp macro="" textlink="">
          <xdr:nvSpPr>
            <xdr:cNvPr id="15432" name="Check Box 72" hidden="1">
              <a:extLst>
                <a:ext uri="{63B3BB69-23CF-44E3-9099-C40C66FF867C}">
                  <a14:compatExt spid="_x0000_s15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175260</xdr:colOff>
          <xdr:row>19</xdr:row>
          <xdr:rowOff>182880</xdr:rowOff>
        </xdr:from>
        <xdr:to>
          <xdr:col>34</xdr:col>
          <xdr:colOff>38100</xdr:colOff>
          <xdr:row>21</xdr:row>
          <xdr:rowOff>0</xdr:rowOff>
        </xdr:to>
        <xdr:sp macro="" textlink="">
          <xdr:nvSpPr>
            <xdr:cNvPr id="15434" name="Check Box 74" hidden="1">
              <a:extLst>
                <a:ext uri="{63B3BB69-23CF-44E3-9099-C40C66FF867C}">
                  <a14:compatExt spid="_x0000_s15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175260</xdr:colOff>
          <xdr:row>20</xdr:row>
          <xdr:rowOff>182880</xdr:rowOff>
        </xdr:from>
        <xdr:to>
          <xdr:col>34</xdr:col>
          <xdr:colOff>38100</xdr:colOff>
          <xdr:row>22</xdr:row>
          <xdr:rowOff>0</xdr:rowOff>
        </xdr:to>
        <xdr:sp macro="" textlink="">
          <xdr:nvSpPr>
            <xdr:cNvPr id="15436" name="Check Box 76" hidden="1">
              <a:extLst>
                <a:ext uri="{63B3BB69-23CF-44E3-9099-C40C66FF867C}">
                  <a14:compatExt spid="_x0000_s15436"/>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497417</xdr:colOff>
      <xdr:row>21</xdr:row>
      <xdr:rowOff>147107</xdr:rowOff>
    </xdr:from>
    <xdr:to>
      <xdr:col>14</xdr:col>
      <xdr:colOff>137584</xdr:colOff>
      <xdr:row>40</xdr:row>
      <xdr:rowOff>10583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533135</xdr:colOff>
      <xdr:row>21</xdr:row>
      <xdr:rowOff>130967</xdr:rowOff>
    </xdr:from>
    <xdr:to>
      <xdr:col>16</xdr:col>
      <xdr:colOff>482865</xdr:colOff>
      <xdr:row>35</xdr:row>
      <xdr:rowOff>141550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56885</xdr:colOff>
      <xdr:row>2</xdr:row>
      <xdr:rowOff>35297</xdr:rowOff>
    </xdr:from>
    <xdr:to>
      <xdr:col>4</xdr:col>
      <xdr:colOff>1083468</xdr:colOff>
      <xdr:row>7</xdr:row>
      <xdr:rowOff>25277</xdr:rowOff>
    </xdr:to>
    <xdr:pic>
      <xdr:nvPicPr>
        <xdr:cNvPr id="3" name="Picture 2" descr="Kuvahaun tulos haulle the noun project apartment hou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85823" y="559172"/>
          <a:ext cx="1026583" cy="1013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51594</xdr:colOff>
      <xdr:row>73</xdr:row>
      <xdr:rowOff>92606</xdr:rowOff>
    </xdr:from>
    <xdr:to>
      <xdr:col>4</xdr:col>
      <xdr:colOff>1008062</xdr:colOff>
      <xdr:row>78</xdr:row>
      <xdr:rowOff>29105</xdr:rowOff>
    </xdr:to>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80532" y="9248512"/>
          <a:ext cx="956468" cy="960437"/>
        </a:xfrm>
        <a:prstGeom prst="rect">
          <a:avLst/>
        </a:prstGeom>
      </xdr:spPr>
    </xdr:pic>
    <xdr:clientData/>
  </xdr:twoCellAnchor>
  <xdr:twoCellAnchor>
    <xdr:from>
      <xdr:col>1</xdr:col>
      <xdr:colOff>179916</xdr:colOff>
      <xdr:row>45</xdr:row>
      <xdr:rowOff>20106</xdr:rowOff>
    </xdr:from>
    <xdr:to>
      <xdr:col>7</xdr:col>
      <xdr:colOff>772584</xdr:colOff>
      <xdr:row>66</xdr:row>
      <xdr:rowOff>105833</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1047753</xdr:colOff>
      <xdr:row>45</xdr:row>
      <xdr:rowOff>21167</xdr:rowOff>
    </xdr:from>
    <xdr:to>
      <xdr:col>13</xdr:col>
      <xdr:colOff>2159000</xdr:colOff>
      <xdr:row>66</xdr:row>
      <xdr:rowOff>105833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190502</xdr:colOff>
      <xdr:row>104</xdr:row>
      <xdr:rowOff>31749</xdr:rowOff>
    </xdr:from>
    <xdr:to>
      <xdr:col>7</xdr:col>
      <xdr:colOff>740834</xdr:colOff>
      <xdr:row>125</xdr:row>
      <xdr:rowOff>169332</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1090083</xdr:colOff>
      <xdr:row>104</xdr:row>
      <xdr:rowOff>42334</xdr:rowOff>
    </xdr:from>
    <xdr:to>
      <xdr:col>14</xdr:col>
      <xdr:colOff>1</xdr:colOff>
      <xdr:row>126</xdr:row>
      <xdr:rowOff>21167</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ables/table1.xml><?xml version="1.0" encoding="utf-8"?>
<table xmlns="http://schemas.openxmlformats.org/spreadsheetml/2006/main" id="1" name="Table1" displayName="Table1" ref="A1:A16" totalsRowShown="0" dataDxfId="13">
  <autoFilter ref="A1:A16"/>
  <tableColumns count="1">
    <tableColumn id="1" name="Astiakoko seka ja bio" dataDxfId="12"/>
  </tableColumns>
  <tableStyleInfo name="TableStyleLight2" showFirstColumn="0" showLastColumn="0" showRowStripes="1" showColumnStripes="0"/>
</table>
</file>

<file path=xl/tables/table2.xml><?xml version="1.0" encoding="utf-8"?>
<table xmlns="http://schemas.openxmlformats.org/spreadsheetml/2006/main" id="3" name="Table24" displayName="Table24" ref="C1:C16" totalsRowShown="0" headerRowDxfId="11" dataDxfId="9" headerRowBorderDxfId="10" tableBorderDxfId="8">
  <autoFilter ref="C1:C16"/>
  <tableColumns count="1">
    <tableColumn id="1" name="Lasi ja metalli" dataDxfId="7"/>
  </tableColumns>
  <tableStyleInfo name="TableStyleLight2" showFirstColumn="0" showLastColumn="0" showRowStripes="1" showColumnStripes="0"/>
</table>
</file>

<file path=xl/tables/table3.xml><?xml version="1.0" encoding="utf-8"?>
<table xmlns="http://schemas.openxmlformats.org/spreadsheetml/2006/main" id="5" name="Table5" displayName="Table5" ref="E1:E16" totalsRowShown="0" headerRowDxfId="6" dataDxfId="4" headerRowBorderDxfId="5" tableBorderDxfId="3">
  <autoFilter ref="E1:E16"/>
  <tableColumns count="1">
    <tableColumn id="1" name="Paperi ja pahvi" dataDxfId="2"/>
  </tableColumns>
  <tableStyleInfo name="TableStyleLight2" showFirstColumn="0" showLastColumn="0" showRowStripes="1" showColumnStripes="0"/>
</table>
</file>

<file path=xl/tables/table4.xml><?xml version="1.0" encoding="utf-8"?>
<table xmlns="http://schemas.openxmlformats.org/spreadsheetml/2006/main" id="6" name="Table6" displayName="Table6" ref="G1:G16" totalsRowShown="0" dataDxfId="1">
  <autoFilter ref="G1:G16"/>
  <tableColumns count="1">
    <tableColumn id="1" name="Muovi" dataDxfId="0"/>
  </tableColumns>
  <tableStyleInfo name="TableStyleLight2" showFirstColumn="0" showLastColumn="0" showRowStripes="1" showColumnStripes="0"/>
</table>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tabSelected="1" zoomScale="90" zoomScaleNormal="90" workbookViewId="0">
      <selection activeCell="B2" sqref="B2"/>
    </sheetView>
  </sheetViews>
  <sheetFormatPr defaultColWidth="9.109375" defaultRowHeight="14.4" x14ac:dyDescent="0.3"/>
  <cols>
    <col min="1" max="1" width="17.88671875" style="41" customWidth="1"/>
    <col min="2" max="2" width="7.88671875" style="85" customWidth="1"/>
    <col min="3" max="3" width="104.5546875" style="85" customWidth="1"/>
    <col min="4" max="16384" width="9.109375" style="85"/>
  </cols>
  <sheetData>
    <row r="1" spans="3:3" ht="96" customHeight="1" x14ac:dyDescent="0.5">
      <c r="C1" s="87" t="s">
        <v>89</v>
      </c>
    </row>
    <row r="2" spans="3:3" ht="42.75" customHeight="1" x14ac:dyDescent="0.25"/>
    <row r="3" spans="3:3" ht="126" x14ac:dyDescent="0.3">
      <c r="C3" s="105" t="s">
        <v>234</v>
      </c>
    </row>
    <row r="4" spans="3:3" ht="16.5" customHeight="1" x14ac:dyDescent="0.3">
      <c r="C4" s="86"/>
    </row>
    <row r="5" spans="3:3" ht="18" x14ac:dyDescent="0.35">
      <c r="C5" s="86" t="s">
        <v>174</v>
      </c>
    </row>
    <row r="13" spans="3:3" ht="52.8" x14ac:dyDescent="0.3">
      <c r="C13" s="221" t="s">
        <v>238</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K9" sqref="K9"/>
    </sheetView>
  </sheetViews>
  <sheetFormatPr defaultRowHeight="14.4" x14ac:dyDescent="0.3"/>
  <cols>
    <col min="1" max="1" width="22" bestFit="1" customWidth="1"/>
    <col min="3" max="3" width="19.33203125" bestFit="1" customWidth="1"/>
    <col min="5" max="5" width="19.33203125" bestFit="1" customWidth="1"/>
    <col min="7" max="7" width="12.5546875" bestFit="1" customWidth="1"/>
  </cols>
  <sheetData>
    <row r="1" spans="1:7" ht="15" x14ac:dyDescent="0.25">
      <c r="A1" t="s">
        <v>9</v>
      </c>
      <c r="C1" s="5" t="s">
        <v>10</v>
      </c>
      <c r="E1" s="5" t="s">
        <v>11</v>
      </c>
      <c r="G1" t="s">
        <v>4</v>
      </c>
    </row>
    <row r="2" spans="1:7" ht="15" x14ac:dyDescent="0.25">
      <c r="A2" s="1" t="s">
        <v>21</v>
      </c>
      <c r="C2" s="1" t="s">
        <v>21</v>
      </c>
      <c r="E2" s="1" t="s">
        <v>21</v>
      </c>
      <c r="G2" s="1" t="s">
        <v>21</v>
      </c>
    </row>
    <row r="3" spans="1:7" ht="15" x14ac:dyDescent="0.25">
      <c r="A3" s="1" t="s">
        <v>22</v>
      </c>
      <c r="C3" s="1" t="s">
        <v>22</v>
      </c>
      <c r="E3" s="1" t="s">
        <v>22</v>
      </c>
      <c r="G3" s="1" t="s">
        <v>22</v>
      </c>
    </row>
    <row r="4" spans="1:7" ht="15" x14ac:dyDescent="0.25">
      <c r="A4" s="1" t="s">
        <v>23</v>
      </c>
      <c r="C4" s="1" t="s">
        <v>23</v>
      </c>
      <c r="E4" s="1" t="s">
        <v>23</v>
      </c>
      <c r="G4" s="1" t="s">
        <v>23</v>
      </c>
    </row>
    <row r="5" spans="1:7" ht="15" x14ac:dyDescent="0.25">
      <c r="A5" s="1" t="s">
        <v>24</v>
      </c>
      <c r="C5" s="1" t="s">
        <v>24</v>
      </c>
      <c r="E5" s="1" t="s">
        <v>24</v>
      </c>
      <c r="G5" s="1" t="s">
        <v>24</v>
      </c>
    </row>
    <row r="6" spans="1:7" ht="15" x14ac:dyDescent="0.25">
      <c r="A6" s="1" t="s">
        <v>25</v>
      </c>
      <c r="C6" s="1" t="s">
        <v>25</v>
      </c>
      <c r="E6" s="1" t="s">
        <v>25</v>
      </c>
      <c r="G6" s="1" t="s">
        <v>25</v>
      </c>
    </row>
    <row r="7" spans="1:7" ht="15" x14ac:dyDescent="0.25">
      <c r="A7" s="1" t="s">
        <v>26</v>
      </c>
      <c r="C7" s="1" t="s">
        <v>26</v>
      </c>
      <c r="E7" s="1" t="s">
        <v>26</v>
      </c>
      <c r="G7" s="1" t="s">
        <v>26</v>
      </c>
    </row>
    <row r="8" spans="1:7" ht="15" x14ac:dyDescent="0.25">
      <c r="A8" s="1" t="s">
        <v>27</v>
      </c>
      <c r="C8" s="1" t="s">
        <v>27</v>
      </c>
      <c r="E8" s="1" t="s">
        <v>27</v>
      </c>
      <c r="G8" s="1" t="s">
        <v>27</v>
      </c>
    </row>
    <row r="9" spans="1:7" ht="15" x14ac:dyDescent="0.25">
      <c r="A9" s="1" t="s">
        <v>28</v>
      </c>
      <c r="C9" s="1" t="s">
        <v>28</v>
      </c>
      <c r="E9" s="1" t="s">
        <v>28</v>
      </c>
      <c r="G9" s="1" t="s">
        <v>28</v>
      </c>
    </row>
    <row r="10" spans="1:7" x14ac:dyDescent="0.3">
      <c r="A10" s="1" t="s">
        <v>29</v>
      </c>
      <c r="C10" s="1" t="s">
        <v>29</v>
      </c>
      <c r="E10" s="1" t="s">
        <v>29</v>
      </c>
      <c r="G10" s="1" t="s">
        <v>29</v>
      </c>
    </row>
    <row r="11" spans="1:7" x14ac:dyDescent="0.3">
      <c r="A11" s="1" t="s">
        <v>30</v>
      </c>
      <c r="C11" s="1" t="s">
        <v>30</v>
      </c>
      <c r="E11" s="1" t="s">
        <v>30</v>
      </c>
      <c r="G11" s="1" t="s">
        <v>30</v>
      </c>
    </row>
    <row r="12" spans="1:7" x14ac:dyDescent="0.3">
      <c r="A12" s="1" t="s">
        <v>31</v>
      </c>
      <c r="C12" s="1" t="s">
        <v>31</v>
      </c>
      <c r="E12" s="1" t="s">
        <v>31</v>
      </c>
      <c r="G12" s="1" t="s">
        <v>31</v>
      </c>
    </row>
    <row r="13" spans="1:7" x14ac:dyDescent="0.3">
      <c r="A13" s="1" t="s">
        <v>32</v>
      </c>
      <c r="C13" s="1" t="s">
        <v>32</v>
      </c>
      <c r="E13" s="1" t="s">
        <v>32</v>
      </c>
      <c r="G13" s="1" t="s">
        <v>32</v>
      </c>
    </row>
    <row r="14" spans="1:7" x14ac:dyDescent="0.3">
      <c r="A14" s="1" t="s">
        <v>33</v>
      </c>
      <c r="C14" s="1" t="s">
        <v>33</v>
      </c>
      <c r="E14" s="1" t="s">
        <v>33</v>
      </c>
      <c r="G14" s="1" t="s">
        <v>33</v>
      </c>
    </row>
    <row r="15" spans="1:7" x14ac:dyDescent="0.3">
      <c r="A15" s="1" t="s">
        <v>34</v>
      </c>
      <c r="C15" s="1" t="s">
        <v>34</v>
      </c>
      <c r="E15" s="1" t="s">
        <v>34</v>
      </c>
      <c r="G15" s="1" t="s">
        <v>34</v>
      </c>
    </row>
    <row r="16" spans="1:7" ht="15" x14ac:dyDescent="0.25">
      <c r="A16" s="6" t="s">
        <v>12</v>
      </c>
      <c r="C16" s="6" t="s">
        <v>12</v>
      </c>
      <c r="E16" s="6" t="s">
        <v>12</v>
      </c>
      <c r="G16" s="6" t="s">
        <v>12</v>
      </c>
    </row>
  </sheetData>
  <pageMargins left="0.7" right="0.7" top="0.75" bottom="0.75" header="0.3" footer="0.3"/>
  <tableParts count="4">
    <tablePart r:id="rId1"/>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99"/>
  <sheetViews>
    <sheetView zoomScaleNormal="100" workbookViewId="0">
      <selection activeCell="O38" sqref="O38"/>
    </sheetView>
  </sheetViews>
  <sheetFormatPr defaultColWidth="9.109375" defaultRowHeight="14.4" x14ac:dyDescent="0.3"/>
  <cols>
    <col min="1" max="1" width="3.5546875" style="85" customWidth="1"/>
    <col min="2" max="2" width="3.6640625" style="85" customWidth="1"/>
    <col min="3" max="3" width="5.33203125" style="85" customWidth="1"/>
    <col min="4" max="7" width="9.109375" style="85"/>
    <col min="8" max="8" width="0" style="85" hidden="1" customWidth="1"/>
    <col min="9" max="16384" width="9.109375" style="85"/>
  </cols>
  <sheetData>
    <row r="1" spans="2:8" s="169" customFormat="1" ht="21" x14ac:dyDescent="0.35">
      <c r="B1" s="185" t="s">
        <v>167</v>
      </c>
    </row>
    <row r="3" spans="2:8" x14ac:dyDescent="0.3">
      <c r="B3" s="89" t="s">
        <v>96</v>
      </c>
      <c r="H3" s="85">
        <f>F3*G3</f>
        <v>0</v>
      </c>
    </row>
    <row r="4" spans="2:8" ht="15" x14ac:dyDescent="0.25">
      <c r="B4" s="89"/>
      <c r="C4" s="112"/>
    </row>
    <row r="5" spans="2:8" x14ac:dyDescent="0.3">
      <c r="B5" s="89"/>
      <c r="C5" s="112" t="s">
        <v>189</v>
      </c>
    </row>
    <row r="6" spans="2:8" x14ac:dyDescent="0.3">
      <c r="B6" s="89"/>
      <c r="C6" s="85" t="s">
        <v>214</v>
      </c>
    </row>
    <row r="7" spans="2:8" x14ac:dyDescent="0.3">
      <c r="B7" s="89"/>
      <c r="C7" s="85" t="s">
        <v>178</v>
      </c>
    </row>
    <row r="8" spans="2:8" x14ac:dyDescent="0.3">
      <c r="C8" s="85" t="s">
        <v>179</v>
      </c>
      <c r="H8" s="85">
        <f>F8*G8</f>
        <v>0</v>
      </c>
    </row>
    <row r="9" spans="2:8" x14ac:dyDescent="0.3">
      <c r="C9" s="85" t="s">
        <v>226</v>
      </c>
    </row>
    <row r="10" spans="2:8" x14ac:dyDescent="0.3">
      <c r="C10" s="85" t="s">
        <v>190</v>
      </c>
      <c r="H10" s="85">
        <f>F10*G10</f>
        <v>0</v>
      </c>
    </row>
    <row r="11" spans="2:8" x14ac:dyDescent="0.3">
      <c r="C11" s="85" t="s">
        <v>225</v>
      </c>
      <c r="H11" s="85">
        <f>F11*G11</f>
        <v>0</v>
      </c>
    </row>
    <row r="12" spans="2:8" x14ac:dyDescent="0.3">
      <c r="C12" s="85" t="s">
        <v>224</v>
      </c>
      <c r="H12" s="85">
        <f>F12*G12</f>
        <v>0</v>
      </c>
    </row>
    <row r="13" spans="2:8" x14ac:dyDescent="0.3">
      <c r="C13" s="85" t="s">
        <v>201</v>
      </c>
      <c r="H13" s="85">
        <f>F13*G13</f>
        <v>0</v>
      </c>
    </row>
    <row r="15" spans="2:8" ht="15" x14ac:dyDescent="0.25">
      <c r="B15" s="89" t="s">
        <v>131</v>
      </c>
    </row>
    <row r="16" spans="2:8" ht="15" x14ac:dyDescent="0.25">
      <c r="C16" s="85" t="s">
        <v>132</v>
      </c>
    </row>
    <row r="17" spans="2:3" ht="15" x14ac:dyDescent="0.25">
      <c r="C17" s="85" t="s">
        <v>182</v>
      </c>
    </row>
    <row r="18" spans="2:3" x14ac:dyDescent="0.3">
      <c r="C18" s="85" t="s">
        <v>183</v>
      </c>
    </row>
    <row r="19" spans="2:3" ht="15" x14ac:dyDescent="0.25">
      <c r="C19" s="85" t="s">
        <v>133</v>
      </c>
    </row>
    <row r="21" spans="2:3" s="169" customFormat="1" x14ac:dyDescent="0.3">
      <c r="B21" s="183" t="s">
        <v>158</v>
      </c>
    </row>
    <row r="23" spans="2:3" x14ac:dyDescent="0.3">
      <c r="C23" s="85" t="s">
        <v>219</v>
      </c>
    </row>
    <row r="24" spans="2:3" x14ac:dyDescent="0.3">
      <c r="C24" s="85" t="s">
        <v>228</v>
      </c>
    </row>
    <row r="25" spans="2:3" x14ac:dyDescent="0.3">
      <c r="C25" s="85" t="s">
        <v>184</v>
      </c>
    </row>
    <row r="50" spans="2:8" s="22" customFormat="1" x14ac:dyDescent="0.3">
      <c r="B50" s="33" t="s">
        <v>90</v>
      </c>
      <c r="H50" s="22">
        <f>F50*G50</f>
        <v>0</v>
      </c>
    </row>
    <row r="51" spans="2:8" x14ac:dyDescent="0.3">
      <c r="H51" s="108">
        <f>F51*G51</f>
        <v>0</v>
      </c>
    </row>
    <row r="52" spans="2:8" x14ac:dyDescent="0.3">
      <c r="C52" s="85" t="s">
        <v>210</v>
      </c>
    </row>
    <row r="53" spans="2:8" x14ac:dyDescent="0.3">
      <c r="C53" s="85" t="s">
        <v>220</v>
      </c>
    </row>
    <row r="54" spans="2:8" x14ac:dyDescent="0.3">
      <c r="C54" s="85" t="s">
        <v>191</v>
      </c>
    </row>
    <row r="55" spans="2:8" x14ac:dyDescent="0.3">
      <c r="C55" s="85" t="s">
        <v>192</v>
      </c>
    </row>
    <row r="56" spans="2:8" x14ac:dyDescent="0.3">
      <c r="C56" s="85" t="s">
        <v>166</v>
      </c>
      <c r="E56" s="109"/>
    </row>
    <row r="57" spans="2:8" x14ac:dyDescent="0.3">
      <c r="C57" s="85" t="s">
        <v>193</v>
      </c>
      <c r="E57" s="109"/>
    </row>
    <row r="58" spans="2:8" x14ac:dyDescent="0.3">
      <c r="C58" s="85" t="s">
        <v>209</v>
      </c>
    </row>
    <row r="59" spans="2:8" x14ac:dyDescent="0.3">
      <c r="C59" s="85" t="s">
        <v>227</v>
      </c>
    </row>
    <row r="76" spans="2:8" s="22" customFormat="1" x14ac:dyDescent="0.3">
      <c r="B76" s="33" t="s">
        <v>92</v>
      </c>
    </row>
    <row r="78" spans="2:8" x14ac:dyDescent="0.3">
      <c r="C78" s="85" t="s">
        <v>110</v>
      </c>
    </row>
    <row r="79" spans="2:8" x14ac:dyDescent="0.3">
      <c r="C79" s="110" t="s">
        <v>229</v>
      </c>
    </row>
    <row r="80" spans="2:8" x14ac:dyDescent="0.3">
      <c r="C80" s="85" t="s">
        <v>180</v>
      </c>
      <c r="H80" s="108"/>
    </row>
    <row r="81" spans="3:4" x14ac:dyDescent="0.3">
      <c r="C81" s="85" t="s">
        <v>205</v>
      </c>
    </row>
    <row r="82" spans="3:4" x14ac:dyDescent="0.3">
      <c r="C82" s="85" t="s">
        <v>204</v>
      </c>
    </row>
    <row r="83" spans="3:4" x14ac:dyDescent="0.3">
      <c r="C83" s="85" t="s">
        <v>194</v>
      </c>
    </row>
    <row r="84" spans="3:4" x14ac:dyDescent="0.3">
      <c r="D84" s="193" t="s">
        <v>195</v>
      </c>
    </row>
    <row r="85" spans="3:4" x14ac:dyDescent="0.3">
      <c r="D85" s="85" t="s">
        <v>196</v>
      </c>
    </row>
    <row r="86" spans="3:4" x14ac:dyDescent="0.3">
      <c r="D86" s="85" t="s">
        <v>197</v>
      </c>
    </row>
    <row r="87" spans="3:4" x14ac:dyDescent="0.3">
      <c r="D87" s="85" t="s">
        <v>198</v>
      </c>
    </row>
    <row r="88" spans="3:4" x14ac:dyDescent="0.3">
      <c r="C88" s="85" t="s">
        <v>93</v>
      </c>
    </row>
    <row r="127" spans="2:2" s="22" customFormat="1" x14ac:dyDescent="0.3">
      <c r="B127" s="33" t="s">
        <v>94</v>
      </c>
    </row>
    <row r="129" spans="3:3" x14ac:dyDescent="0.3">
      <c r="C129" s="85" t="s">
        <v>218</v>
      </c>
    </row>
    <row r="130" spans="3:3" x14ac:dyDescent="0.3">
      <c r="C130" s="85" t="s">
        <v>230</v>
      </c>
    </row>
    <row r="131" spans="3:3" x14ac:dyDescent="0.3">
      <c r="C131" s="85" t="s">
        <v>231</v>
      </c>
    </row>
    <row r="145" spans="2:3" s="179" customFormat="1" x14ac:dyDescent="0.3">
      <c r="B145" s="184" t="s">
        <v>95</v>
      </c>
    </row>
    <row r="147" spans="2:3" x14ac:dyDescent="0.3">
      <c r="C147" s="85" t="s">
        <v>185</v>
      </c>
    </row>
    <row r="148" spans="2:3" x14ac:dyDescent="0.3">
      <c r="C148" s="85" t="s">
        <v>199</v>
      </c>
    </row>
    <row r="149" spans="2:3" x14ac:dyDescent="0.3">
      <c r="C149" s="85" t="s">
        <v>222</v>
      </c>
    </row>
    <row r="150" spans="2:3" x14ac:dyDescent="0.3">
      <c r="C150" s="85" t="s">
        <v>223</v>
      </c>
    </row>
    <row r="151" spans="2:3" x14ac:dyDescent="0.3">
      <c r="C151" s="85" t="s">
        <v>200</v>
      </c>
    </row>
    <row r="152" spans="2:3" x14ac:dyDescent="0.3">
      <c r="C152" s="85" t="s">
        <v>202</v>
      </c>
    </row>
    <row r="168" spans="2:4" s="179" customFormat="1" x14ac:dyDescent="0.3">
      <c r="B168" s="184" t="s">
        <v>156</v>
      </c>
      <c r="C168" s="157"/>
      <c r="D168" s="157"/>
    </row>
    <row r="170" spans="2:4" x14ac:dyDescent="0.3">
      <c r="C170" s="178" t="s">
        <v>215</v>
      </c>
      <c r="D170" s="110"/>
    </row>
    <row r="171" spans="2:4" x14ac:dyDescent="0.3">
      <c r="C171" s="110" t="s">
        <v>120</v>
      </c>
      <c r="D171" s="110"/>
    </row>
    <row r="172" spans="2:4" x14ac:dyDescent="0.3">
      <c r="C172" s="110" t="s">
        <v>221</v>
      </c>
      <c r="D172" s="110"/>
    </row>
    <row r="173" spans="2:4" x14ac:dyDescent="0.3">
      <c r="C173" s="85" t="s">
        <v>223</v>
      </c>
    </row>
    <row r="174" spans="2:4" x14ac:dyDescent="0.3">
      <c r="C174" s="110" t="s">
        <v>216</v>
      </c>
      <c r="D174" s="110"/>
    </row>
    <row r="175" spans="2:4" x14ac:dyDescent="0.3">
      <c r="C175" s="110" t="s">
        <v>203</v>
      </c>
    </row>
    <row r="176" spans="2:4" x14ac:dyDescent="0.3">
      <c r="C176" s="110"/>
      <c r="D176" s="110"/>
    </row>
    <row r="177" spans="2:4" x14ac:dyDescent="0.3">
      <c r="C177" s="110"/>
      <c r="D177" s="110"/>
    </row>
    <row r="178" spans="2:4" x14ac:dyDescent="0.3">
      <c r="C178" s="110"/>
      <c r="D178" s="110"/>
    </row>
    <row r="179" spans="2:4" x14ac:dyDescent="0.3">
      <c r="C179" s="110"/>
      <c r="D179" s="110"/>
    </row>
    <row r="180" spans="2:4" x14ac:dyDescent="0.3">
      <c r="C180" s="110"/>
      <c r="D180" s="110"/>
    </row>
    <row r="181" spans="2:4" x14ac:dyDescent="0.3">
      <c r="C181" s="110"/>
      <c r="D181" s="110"/>
    </row>
    <row r="182" spans="2:4" x14ac:dyDescent="0.3">
      <c r="C182" s="110"/>
      <c r="D182" s="110"/>
    </row>
    <row r="183" spans="2:4" x14ac:dyDescent="0.3">
      <c r="C183" s="110"/>
      <c r="D183" s="110"/>
    </row>
    <row r="184" spans="2:4" x14ac:dyDescent="0.3">
      <c r="C184" s="110"/>
      <c r="D184" s="110"/>
    </row>
    <row r="185" spans="2:4" x14ac:dyDescent="0.3">
      <c r="C185" s="110"/>
      <c r="D185" s="110"/>
    </row>
    <row r="186" spans="2:4" x14ac:dyDescent="0.3">
      <c r="C186" s="110"/>
      <c r="D186" s="110"/>
    </row>
    <row r="187" spans="2:4" x14ac:dyDescent="0.3">
      <c r="C187" s="110"/>
      <c r="D187" s="110"/>
    </row>
    <row r="188" spans="2:4" x14ac:dyDescent="0.3">
      <c r="C188" s="110"/>
      <c r="D188" s="110"/>
    </row>
    <row r="189" spans="2:4" x14ac:dyDescent="0.3">
      <c r="C189" s="110"/>
      <c r="D189" s="110"/>
    </row>
    <row r="190" spans="2:4" s="169" customFormat="1" x14ac:dyDescent="0.3">
      <c r="B190" s="183" t="s">
        <v>64</v>
      </c>
      <c r="C190" s="35"/>
      <c r="D190" s="35"/>
    </row>
    <row r="191" spans="2:4" x14ac:dyDescent="0.3">
      <c r="D191" s="110"/>
    </row>
    <row r="192" spans="2:4" x14ac:dyDescent="0.3">
      <c r="C192" s="110" t="s">
        <v>157</v>
      </c>
      <c r="D192" s="110"/>
    </row>
    <row r="193" spans="2:4" x14ac:dyDescent="0.3">
      <c r="C193" s="110" t="s">
        <v>206</v>
      </c>
      <c r="D193" s="110"/>
    </row>
    <row r="194" spans="2:4" x14ac:dyDescent="0.3">
      <c r="C194" s="85" t="s">
        <v>217</v>
      </c>
    </row>
    <row r="196" spans="2:4" s="169" customFormat="1" x14ac:dyDescent="0.3">
      <c r="B196" s="183" t="s">
        <v>111</v>
      </c>
    </row>
    <row r="197" spans="2:4" x14ac:dyDescent="0.3">
      <c r="B197" s="89"/>
    </row>
    <row r="198" spans="2:4" x14ac:dyDescent="0.3">
      <c r="C198" t="s">
        <v>159</v>
      </c>
    </row>
    <row r="199" spans="2:4" x14ac:dyDescent="0.3">
      <c r="C199" s="85" t="s">
        <v>160</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zoomScale="90" zoomScaleNormal="90" workbookViewId="0">
      <selection activeCell="G30" sqref="G30"/>
    </sheetView>
  </sheetViews>
  <sheetFormatPr defaultColWidth="9.109375" defaultRowHeight="14.4" x14ac:dyDescent="0.3"/>
  <cols>
    <col min="1" max="1" width="3.44140625" style="14" customWidth="1"/>
    <col min="2" max="2" width="22.5546875" style="14" bestFit="1" customWidth="1"/>
    <col min="3" max="3" width="6.5546875" style="14" customWidth="1"/>
    <col min="4" max="4" width="22.5546875" style="14" bestFit="1" customWidth="1"/>
    <col min="5" max="5" width="35.109375" style="14" customWidth="1"/>
    <col min="6" max="6" width="9.109375" style="14"/>
    <col min="7" max="7" width="28.88671875" style="14" customWidth="1"/>
    <col min="8" max="9" width="9.109375" style="14"/>
    <col min="10" max="10" width="16.44140625" style="14" customWidth="1"/>
    <col min="11" max="16384" width="9.109375" style="14"/>
  </cols>
  <sheetData>
    <row r="1" spans="1:10" ht="21" x14ac:dyDescent="0.35">
      <c r="B1" s="19" t="s">
        <v>114</v>
      </c>
    </row>
    <row r="2" spans="1:10" ht="15" x14ac:dyDescent="0.25">
      <c r="B2" s="125"/>
    </row>
    <row r="3" spans="1:10" ht="15" x14ac:dyDescent="0.25">
      <c r="B3" s="187" t="str">
        <f>Ohje!C23</f>
        <v>Tällä välilehdellä on valtakunnalliset oletusarvot jätekertymistä, kierrätettävien jätelajien osuudet oletuskertymistä ja sekajätteen koostumuksesta, sekä jätelajien nimitykset.</v>
      </c>
      <c r="C3" s="187"/>
      <c r="D3" s="187"/>
      <c r="E3" s="187"/>
      <c r="F3" s="187"/>
      <c r="G3" s="187"/>
      <c r="H3" s="169"/>
      <c r="I3" s="169"/>
      <c r="J3" s="169"/>
    </row>
    <row r="4" spans="1:10" ht="15" x14ac:dyDescent="0.25">
      <c r="B4" s="187" t="str">
        <f>Ohje!C24</f>
        <v>Oletusarvot ovat peräisin KIVO:n kotitalouksien jätemaksuraportista (2017).</v>
      </c>
      <c r="C4" s="187"/>
      <c r="D4" s="187"/>
      <c r="E4" s="187"/>
      <c r="F4" s="187"/>
      <c r="G4" s="187"/>
      <c r="H4" s="169"/>
      <c r="I4" s="169"/>
      <c r="J4" s="169"/>
    </row>
    <row r="5" spans="1:10" ht="15" x14ac:dyDescent="0.25">
      <c r="B5" s="187" t="str">
        <f>Ohje!C25</f>
        <v xml:space="preserve">Jos jätelaitoksellanne on tarkempaa tietoa toimialueen jätekertymistä, kannattaa ne kirjata valtakunnallisten lukujen tilalle. </v>
      </c>
      <c r="C5" s="187"/>
      <c r="D5" s="187"/>
      <c r="E5" s="187"/>
      <c r="F5" s="187"/>
      <c r="G5" s="187"/>
      <c r="H5" s="169"/>
      <c r="I5" s="169"/>
      <c r="J5" s="169"/>
    </row>
    <row r="7" spans="1:10" ht="30.75" customHeight="1" x14ac:dyDescent="0.3">
      <c r="B7" s="126" t="s">
        <v>232</v>
      </c>
      <c r="D7" s="224"/>
      <c r="E7" s="224"/>
    </row>
    <row r="8" spans="1:10" ht="15" customHeight="1" x14ac:dyDescent="0.3">
      <c r="A8" s="16"/>
      <c r="B8" s="129" t="s">
        <v>122</v>
      </c>
      <c r="C8" s="16"/>
      <c r="D8" s="129" t="s">
        <v>49</v>
      </c>
      <c r="E8" s="130" t="s">
        <v>237</v>
      </c>
      <c r="F8" s="127"/>
      <c r="G8" s="16"/>
      <c r="H8" s="15"/>
      <c r="I8" s="15"/>
    </row>
    <row r="9" spans="1:10" x14ac:dyDescent="0.3">
      <c r="A9" s="15"/>
      <c r="B9" s="199" t="s">
        <v>0</v>
      </c>
      <c r="C9" s="15"/>
      <c r="D9" s="35" t="s">
        <v>13</v>
      </c>
      <c r="E9" s="198">
        <v>246</v>
      </c>
      <c r="F9" s="15"/>
      <c r="G9" s="15"/>
      <c r="H9" s="17"/>
      <c r="I9" s="15"/>
    </row>
    <row r="10" spans="1:10" x14ac:dyDescent="0.3">
      <c r="A10" s="15"/>
      <c r="B10" s="199" t="s">
        <v>1</v>
      </c>
      <c r="C10" s="15"/>
      <c r="D10" s="35" t="s">
        <v>14</v>
      </c>
      <c r="E10" s="198">
        <v>242</v>
      </c>
      <c r="F10" s="15"/>
      <c r="G10" s="15"/>
      <c r="H10" s="17"/>
      <c r="I10" s="15"/>
    </row>
    <row r="11" spans="1:10" ht="15" x14ac:dyDescent="0.25">
      <c r="A11" s="15"/>
      <c r="B11" s="199" t="s">
        <v>18</v>
      </c>
      <c r="C11" s="15"/>
      <c r="D11" s="35" t="s">
        <v>15</v>
      </c>
      <c r="E11" s="198">
        <v>195</v>
      </c>
      <c r="F11" s="15"/>
      <c r="G11" s="15"/>
      <c r="H11" s="17"/>
      <c r="I11" s="15"/>
    </row>
    <row r="12" spans="1:10" ht="15" x14ac:dyDescent="0.25">
      <c r="A12" s="15"/>
      <c r="B12" s="199" t="s">
        <v>2</v>
      </c>
      <c r="C12" s="15"/>
      <c r="D12" s="35" t="s">
        <v>36</v>
      </c>
      <c r="E12" s="198">
        <v>140</v>
      </c>
      <c r="F12" s="15"/>
      <c r="G12" s="15"/>
      <c r="H12" s="17"/>
      <c r="I12" s="15"/>
    </row>
    <row r="13" spans="1:10" ht="15" customHeight="1" x14ac:dyDescent="0.25">
      <c r="A13" s="15"/>
      <c r="B13" s="199" t="s">
        <v>17</v>
      </c>
      <c r="C13" s="15"/>
      <c r="D13" s="15"/>
      <c r="E13" s="15"/>
      <c r="F13" s="15"/>
      <c r="G13" s="15"/>
      <c r="H13" s="17"/>
      <c r="I13" s="15"/>
    </row>
    <row r="14" spans="1:10" ht="15" customHeight="1" x14ac:dyDescent="0.3">
      <c r="A14" s="15"/>
      <c r="B14" s="199" t="s">
        <v>3</v>
      </c>
      <c r="C14" s="15"/>
      <c r="D14" s="35"/>
      <c r="E14" s="222" t="s">
        <v>236</v>
      </c>
      <c r="F14" s="15"/>
      <c r="G14" s="15"/>
      <c r="H14" s="17"/>
      <c r="I14" s="15"/>
    </row>
    <row r="15" spans="1:10" x14ac:dyDescent="0.3">
      <c r="A15" s="15"/>
      <c r="B15" s="199" t="s">
        <v>19</v>
      </c>
      <c r="C15" s="15"/>
      <c r="D15" s="129" t="s">
        <v>233</v>
      </c>
      <c r="E15" s="223"/>
      <c r="G15" s="15"/>
      <c r="H15" s="17"/>
      <c r="I15" s="15"/>
    </row>
    <row r="16" spans="1:10" ht="15" x14ac:dyDescent="0.25">
      <c r="A16" s="15"/>
      <c r="B16" s="15"/>
      <c r="C16" s="15"/>
      <c r="D16" s="35" t="str">
        <f>B10</f>
        <v>Biojäte</v>
      </c>
      <c r="E16" s="197">
        <v>40</v>
      </c>
      <c r="F16" s="15"/>
      <c r="G16" s="15"/>
      <c r="H16" s="17"/>
      <c r="I16" s="15"/>
    </row>
    <row r="17" spans="1:9" ht="15" x14ac:dyDescent="0.25">
      <c r="A17" s="15"/>
      <c r="C17" s="15"/>
      <c r="D17" s="35" t="str">
        <f t="shared" ref="D17:D21" si="0">B11</f>
        <v>Kartonkipakkaukset</v>
      </c>
      <c r="E17" s="197">
        <v>12</v>
      </c>
      <c r="F17" s="15"/>
      <c r="G17" s="15"/>
      <c r="H17" s="128"/>
      <c r="I17" s="15"/>
    </row>
    <row r="18" spans="1:9" ht="15" x14ac:dyDescent="0.25">
      <c r="D18" s="35" t="str">
        <f t="shared" si="0"/>
        <v>Metalli</v>
      </c>
      <c r="E18" s="197">
        <v>2</v>
      </c>
      <c r="F18" s="15"/>
    </row>
    <row r="19" spans="1:9" ht="15" x14ac:dyDescent="0.25">
      <c r="D19" s="35" t="str">
        <f t="shared" si="0"/>
        <v>Lasipakkaukset</v>
      </c>
      <c r="E19" s="197">
        <v>5</v>
      </c>
    </row>
    <row r="20" spans="1:9" ht="15" x14ac:dyDescent="0.25">
      <c r="D20" s="35" t="str">
        <f t="shared" si="0"/>
        <v>Paperi</v>
      </c>
      <c r="E20" s="197">
        <v>52</v>
      </c>
      <c r="F20" s="15"/>
    </row>
    <row r="21" spans="1:9" ht="15" x14ac:dyDescent="0.25">
      <c r="D21" s="35" t="str">
        <f t="shared" si="0"/>
        <v>Muovipakkaukset</v>
      </c>
      <c r="E21" s="197">
        <v>6</v>
      </c>
    </row>
    <row r="23" spans="1:9" x14ac:dyDescent="0.3">
      <c r="D23" s="129" t="s">
        <v>41</v>
      </c>
      <c r="E23" s="194" t="s">
        <v>235</v>
      </c>
    </row>
    <row r="24" spans="1:9" ht="15" x14ac:dyDescent="0.25">
      <c r="D24" s="35" t="str">
        <f>B9</f>
        <v>Sekajäte</v>
      </c>
      <c r="E24" s="195">
        <f>1-SUM(E25:E30)</f>
        <v>0.29299999999999993</v>
      </c>
    </row>
    <row r="25" spans="1:9" ht="15" x14ac:dyDescent="0.25">
      <c r="D25" s="35" t="str">
        <f t="shared" ref="D25:D30" si="1">B10</f>
        <v>Biojäte</v>
      </c>
      <c r="E25" s="196">
        <v>0.32800000000000001</v>
      </c>
    </row>
    <row r="26" spans="1:9" ht="15" x14ac:dyDescent="0.25">
      <c r="D26" s="35" t="str">
        <f t="shared" si="1"/>
        <v>Kartonkipakkaukset</v>
      </c>
      <c r="E26" s="196">
        <v>8.2000000000000003E-2</v>
      </c>
    </row>
    <row r="27" spans="1:9" ht="15" x14ac:dyDescent="0.25">
      <c r="D27" s="35" t="str">
        <f t="shared" si="1"/>
        <v>Metalli</v>
      </c>
      <c r="E27" s="196">
        <v>2.3E-2</v>
      </c>
    </row>
    <row r="28" spans="1:9" ht="15" x14ac:dyDescent="0.25">
      <c r="D28" s="35" t="str">
        <f t="shared" si="1"/>
        <v>Lasipakkaukset</v>
      </c>
      <c r="E28" s="196">
        <v>2.4E-2</v>
      </c>
    </row>
    <row r="29" spans="1:9" ht="15" x14ac:dyDescent="0.25">
      <c r="D29" s="35" t="str">
        <f t="shared" si="1"/>
        <v>Paperi</v>
      </c>
      <c r="E29" s="196">
        <v>8.3000000000000004E-2</v>
      </c>
    </row>
    <row r="30" spans="1:9" ht="15" x14ac:dyDescent="0.25">
      <c r="D30" s="35" t="str">
        <f t="shared" si="1"/>
        <v>Muovipakkaukset</v>
      </c>
      <c r="E30" s="196">
        <v>0.16700000000000001</v>
      </c>
    </row>
    <row r="31" spans="1:9" ht="15" x14ac:dyDescent="0.25">
      <c r="D31" s="15"/>
      <c r="E31" s="128"/>
    </row>
  </sheetData>
  <sheetProtection sheet="1" objects="1" scenarios="1"/>
  <mergeCells count="2">
    <mergeCell ref="E14:E15"/>
    <mergeCell ref="D7:E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zoomScale="90" zoomScaleNormal="90" workbookViewId="0">
      <selection activeCell="M5" sqref="M5"/>
    </sheetView>
  </sheetViews>
  <sheetFormatPr defaultColWidth="9.109375" defaultRowHeight="14.4" x14ac:dyDescent="0.3"/>
  <cols>
    <col min="1" max="1" width="2.88671875" style="1" customWidth="1"/>
    <col min="2" max="2" width="17" style="1" bestFit="1" customWidth="1"/>
    <col min="3" max="3" width="14.6640625" style="1" customWidth="1"/>
    <col min="4" max="4" width="20.88671875" style="1" customWidth="1"/>
    <col min="5" max="5" width="32.5546875" style="1" customWidth="1"/>
    <col min="6" max="6" width="16.6640625" style="1" hidden="1" customWidth="1"/>
    <col min="7" max="7" width="4.33203125" style="1" customWidth="1"/>
    <col min="8" max="8" width="18.44140625" style="1" bestFit="1" customWidth="1"/>
    <col min="9" max="9" width="12.6640625" style="1" customWidth="1"/>
    <col min="10" max="10" width="21.109375" style="1" customWidth="1"/>
    <col min="11" max="11" width="31.88671875" style="1" customWidth="1"/>
    <col min="12" max="12" width="9.109375" style="1" hidden="1" customWidth="1"/>
    <col min="13" max="13" width="9.33203125" style="1" customWidth="1"/>
    <col min="14" max="14" width="10" style="1" customWidth="1"/>
    <col min="15" max="15" width="11" style="1" customWidth="1"/>
    <col min="16" max="16384" width="9.109375" style="1"/>
  </cols>
  <sheetData>
    <row r="1" spans="1:12" ht="21" x14ac:dyDescent="0.35">
      <c r="A1" s="2"/>
      <c r="B1" s="18" t="s">
        <v>52</v>
      </c>
      <c r="F1" s="1" t="s">
        <v>7</v>
      </c>
    </row>
    <row r="2" spans="1:12" ht="15" x14ac:dyDescent="0.25">
      <c r="A2" s="2"/>
      <c r="B2" s="2"/>
    </row>
    <row r="3" spans="1:12" x14ac:dyDescent="0.3">
      <c r="A3" s="2"/>
      <c r="B3" s="186" t="s">
        <v>207</v>
      </c>
      <c r="C3" s="35"/>
      <c r="D3" s="35"/>
      <c r="E3" s="35"/>
      <c r="F3" s="35"/>
      <c r="G3" s="35"/>
      <c r="H3" s="35"/>
      <c r="I3" s="35"/>
      <c r="J3" s="35"/>
    </row>
    <row r="4" spans="1:12" ht="15" x14ac:dyDescent="0.25">
      <c r="A4" s="2"/>
      <c r="B4" s="187" t="str">
        <f>Ohje!C52</f>
        <v xml:space="preserve">Tälle välilehdelle täytetään operatiiviset kustannukset eli keräyksen ja kuljetuksen kustannukset. </v>
      </c>
      <c r="C4" s="35"/>
      <c r="D4" s="35"/>
      <c r="E4" s="35"/>
      <c r="F4" s="35"/>
      <c r="G4" s="35"/>
      <c r="H4" s="35"/>
      <c r="I4" s="35"/>
      <c r="J4" s="35"/>
    </row>
    <row r="5" spans="1:12" ht="15" x14ac:dyDescent="0.25">
      <c r="A5" s="2"/>
      <c r="B5" s="187" t="str">
        <f>Ohje!C53</f>
        <v>Jokaisen jätelajin kohdalla:</v>
      </c>
      <c r="C5" s="35"/>
      <c r="D5" s="35"/>
      <c r="E5" s="35"/>
      <c r="F5" s="35"/>
      <c r="G5" s="35"/>
      <c r="H5" s="35"/>
      <c r="I5" s="35"/>
      <c r="J5" s="35"/>
    </row>
    <row r="6" spans="1:12" ht="15" x14ac:dyDescent="0.25">
      <c r="A6" s="2"/>
      <c r="B6" s="187" t="str">
        <f>Ohje!C54</f>
        <v>1. Valitkaa astiatyypit.</v>
      </c>
      <c r="C6" s="35"/>
      <c r="D6" s="35"/>
      <c r="E6" s="35"/>
      <c r="F6" s="35"/>
      <c r="G6" s="35"/>
      <c r="H6" s="35"/>
      <c r="I6" s="35"/>
      <c r="J6" s="35"/>
    </row>
    <row r="7" spans="1:12" ht="15" x14ac:dyDescent="0.25">
      <c r="A7" s="2"/>
      <c r="B7" s="187" t="str">
        <f>Ohje!C55</f>
        <v xml:space="preserve">2. Merkitkää kuinka monta kappaletta kyseistä astiatyyppiä on alueella. </v>
      </c>
      <c r="C7" s="35"/>
      <c r="D7" s="35"/>
      <c r="E7" s="35"/>
      <c r="F7" s="35"/>
      <c r="G7" s="35"/>
      <c r="H7" s="35"/>
      <c r="I7" s="35"/>
      <c r="J7" s="35"/>
    </row>
    <row r="8" spans="1:12" ht="15" x14ac:dyDescent="0.25">
      <c r="A8" s="2"/>
      <c r="B8" s="187" t="str">
        <f>Ohje!C56</f>
        <v xml:space="preserve">    Tämä kohta ei vaikuta laskentaan, joten sen voi myös jättää täyttämättä.</v>
      </c>
      <c r="C8" s="35"/>
      <c r="D8" s="35"/>
      <c r="E8" s="35"/>
      <c r="F8" s="35"/>
      <c r="G8" s="35"/>
      <c r="H8" s="35"/>
      <c r="I8" s="35"/>
      <c r="J8" s="35"/>
    </row>
    <row r="9" spans="1:12" ht="15" x14ac:dyDescent="0.25">
      <c r="A9" s="2"/>
      <c r="B9" s="187" t="str">
        <f>Ohje!C57</f>
        <v>3. Syöttäkää tyhjennysten määrä per vuosi.</v>
      </c>
      <c r="C9" s="35"/>
      <c r="D9" s="35"/>
      <c r="E9" s="35"/>
      <c r="F9" s="35"/>
      <c r="G9" s="35"/>
      <c r="H9" s="35"/>
      <c r="I9" s="35"/>
      <c r="J9" s="35"/>
    </row>
    <row r="10" spans="1:12" ht="15" x14ac:dyDescent="0.25">
      <c r="A10" s="2"/>
      <c r="B10" s="187" t="str">
        <f>Ohje!C58</f>
        <v xml:space="preserve">    Esim. jos kyseistä astiaa on alueella 100 ja jokainen tyhjennetään 12 kertaa vuodessa, soluun syötetään 1200.</v>
      </c>
      <c r="C10" s="35"/>
      <c r="D10" s="35"/>
      <c r="E10" s="35"/>
      <c r="F10" s="35"/>
      <c r="G10" s="35"/>
      <c r="H10" s="35"/>
      <c r="I10" s="35"/>
      <c r="J10" s="35"/>
    </row>
    <row r="11" spans="1:12" ht="15" x14ac:dyDescent="0.25">
      <c r="A11" s="2"/>
      <c r="B11" s="187" t="str">
        <f>Ohje!C59</f>
        <v>4. Syöttäkää keräyksen ja kuljetuksen astiakohtainen tyhjennyskustannus jätelaitokselle ilman ALV:a.</v>
      </c>
      <c r="C11" s="35"/>
      <c r="D11" s="35"/>
      <c r="E11" s="35"/>
      <c r="F11" s="35"/>
      <c r="G11" s="35"/>
      <c r="H11" s="35"/>
      <c r="I11" s="35"/>
      <c r="J11" s="35"/>
    </row>
    <row r="12" spans="1:12" ht="15" x14ac:dyDescent="0.25">
      <c r="A12" s="2"/>
    </row>
    <row r="13" spans="1:12" ht="15" x14ac:dyDescent="0.25">
      <c r="A13" s="2"/>
      <c r="B13" s="226" t="str">
        <f>Oletusarvot!B9</f>
        <v>Sekajäte</v>
      </c>
      <c r="C13" s="226"/>
      <c r="D13" s="226"/>
      <c r="E13" s="226"/>
      <c r="F13" s="4"/>
      <c r="G13" s="3"/>
      <c r="H13" s="226" t="str">
        <f>Oletusarvot!B10</f>
        <v>Biojäte</v>
      </c>
      <c r="I13" s="226"/>
      <c r="J13" s="226"/>
      <c r="K13" s="226"/>
      <c r="L13" s="4"/>
    </row>
    <row r="14" spans="1:12" ht="31.5" customHeight="1" x14ac:dyDescent="0.3">
      <c r="B14" s="1" t="s">
        <v>169</v>
      </c>
      <c r="C14" s="21" t="s">
        <v>168</v>
      </c>
      <c r="D14" s="107" t="s">
        <v>134</v>
      </c>
      <c r="E14" s="20" t="s">
        <v>211</v>
      </c>
      <c r="F14" s="1" t="s">
        <v>91</v>
      </c>
      <c r="H14" s="1" t="str">
        <f>$B$14</f>
        <v>Astia</v>
      </c>
      <c r="I14" s="21" t="str">
        <f>$C$14</f>
        <v>Astiamäärä alueella (kpl)</v>
      </c>
      <c r="J14" s="21" t="str">
        <f>$D$14</f>
        <v>Tyhjennykset vuodessa (kpl)</v>
      </c>
      <c r="K14" s="20" t="str">
        <f>$E$14</f>
        <v>Keräyksen ja kuljetuksen kustannus (€/ast/tyhjennys)</v>
      </c>
      <c r="L14" s="1" t="s">
        <v>91</v>
      </c>
    </row>
    <row r="15" spans="1:12" ht="15" x14ac:dyDescent="0.25">
      <c r="B15" s="207"/>
      <c r="C15" s="208"/>
      <c r="D15" s="208"/>
      <c r="E15" s="209"/>
      <c r="F15" s="1">
        <f>D15*E15</f>
        <v>0</v>
      </c>
      <c r="H15" s="207"/>
      <c r="I15" s="208"/>
      <c r="J15" s="208"/>
      <c r="K15" s="209"/>
      <c r="L15" s="1">
        <f>J15*K15</f>
        <v>0</v>
      </c>
    </row>
    <row r="16" spans="1:12" ht="15" x14ac:dyDescent="0.25">
      <c r="B16" s="207"/>
      <c r="C16" s="208"/>
      <c r="D16" s="208"/>
      <c r="E16" s="209"/>
      <c r="F16" s="1">
        <f t="shared" ref="F16:F25" si="0">D16*E16</f>
        <v>0</v>
      </c>
      <c r="H16" s="207"/>
      <c r="I16" s="208"/>
      <c r="J16" s="208"/>
      <c r="K16" s="209"/>
      <c r="L16" s="1">
        <f t="shared" ref="L16:L25" si="1">J16*K16</f>
        <v>0</v>
      </c>
    </row>
    <row r="17" spans="1:12" ht="15" x14ac:dyDescent="0.25">
      <c r="B17" s="207"/>
      <c r="C17" s="208"/>
      <c r="D17" s="208"/>
      <c r="E17" s="209"/>
      <c r="F17" s="1">
        <f t="shared" si="0"/>
        <v>0</v>
      </c>
      <c r="H17" s="207"/>
      <c r="I17" s="208"/>
      <c r="J17" s="208"/>
      <c r="K17" s="209"/>
      <c r="L17" s="1">
        <f t="shared" si="1"/>
        <v>0</v>
      </c>
    </row>
    <row r="18" spans="1:12" ht="15" x14ac:dyDescent="0.25">
      <c r="B18" s="207"/>
      <c r="C18" s="208"/>
      <c r="D18" s="208"/>
      <c r="E18" s="209"/>
      <c r="F18" s="1">
        <f t="shared" si="0"/>
        <v>0</v>
      </c>
      <c r="H18" s="207"/>
      <c r="I18" s="208"/>
      <c r="J18" s="208"/>
      <c r="K18" s="209"/>
      <c r="L18" s="1">
        <f t="shared" si="1"/>
        <v>0</v>
      </c>
    </row>
    <row r="19" spans="1:12" ht="15" x14ac:dyDescent="0.25">
      <c r="B19" s="207"/>
      <c r="C19" s="208"/>
      <c r="D19" s="208"/>
      <c r="E19" s="209"/>
      <c r="F19" s="1">
        <f t="shared" si="0"/>
        <v>0</v>
      </c>
      <c r="H19" s="207"/>
      <c r="I19" s="208"/>
      <c r="J19" s="208"/>
      <c r="K19" s="209"/>
      <c r="L19" s="1">
        <f t="shared" si="1"/>
        <v>0</v>
      </c>
    </row>
    <row r="20" spans="1:12" ht="15" x14ac:dyDescent="0.25">
      <c r="B20" s="207"/>
      <c r="C20" s="208"/>
      <c r="D20" s="208"/>
      <c r="E20" s="209"/>
      <c r="F20" s="1">
        <f t="shared" si="0"/>
        <v>0</v>
      </c>
      <c r="H20" s="207"/>
      <c r="I20" s="208"/>
      <c r="J20" s="208"/>
      <c r="K20" s="209"/>
      <c r="L20" s="1">
        <f t="shared" si="1"/>
        <v>0</v>
      </c>
    </row>
    <row r="21" spans="1:12" ht="15" x14ac:dyDescent="0.25">
      <c r="B21" s="207"/>
      <c r="C21" s="208"/>
      <c r="D21" s="208"/>
      <c r="E21" s="209"/>
      <c r="F21" s="1">
        <f t="shared" si="0"/>
        <v>0</v>
      </c>
      <c r="H21" s="207"/>
      <c r="I21" s="208"/>
      <c r="J21" s="208"/>
      <c r="K21" s="209"/>
      <c r="L21" s="1">
        <f t="shared" si="1"/>
        <v>0</v>
      </c>
    </row>
    <row r="22" spans="1:12" ht="15" x14ac:dyDescent="0.25">
      <c r="B22" s="207"/>
      <c r="C22" s="208"/>
      <c r="D22" s="208"/>
      <c r="E22" s="209"/>
      <c r="F22" s="1">
        <f t="shared" si="0"/>
        <v>0</v>
      </c>
      <c r="H22" s="207"/>
      <c r="I22" s="208"/>
      <c r="J22" s="208"/>
      <c r="K22" s="209"/>
      <c r="L22" s="1">
        <f t="shared" si="1"/>
        <v>0</v>
      </c>
    </row>
    <row r="23" spans="1:12" ht="15" x14ac:dyDescent="0.25">
      <c r="B23" s="207"/>
      <c r="C23" s="208"/>
      <c r="D23" s="208"/>
      <c r="E23" s="209"/>
      <c r="F23" s="1">
        <f t="shared" si="0"/>
        <v>0</v>
      </c>
      <c r="H23" s="207"/>
      <c r="I23" s="208"/>
      <c r="J23" s="208"/>
      <c r="K23" s="209"/>
      <c r="L23" s="1">
        <f t="shared" si="1"/>
        <v>0</v>
      </c>
    </row>
    <row r="24" spans="1:12" ht="15" x14ac:dyDescent="0.25">
      <c r="B24" s="207"/>
      <c r="C24" s="208"/>
      <c r="D24" s="208"/>
      <c r="E24" s="209"/>
      <c r="F24" s="1">
        <f t="shared" si="0"/>
        <v>0</v>
      </c>
      <c r="H24" s="207"/>
      <c r="I24" s="208"/>
      <c r="J24" s="208"/>
      <c r="K24" s="209"/>
      <c r="L24" s="1">
        <f t="shared" si="1"/>
        <v>0</v>
      </c>
    </row>
    <row r="25" spans="1:12" ht="15" x14ac:dyDescent="0.25">
      <c r="B25" s="207"/>
      <c r="C25" s="208"/>
      <c r="D25" s="208"/>
      <c r="E25" s="209"/>
      <c r="F25" s="8">
        <f t="shared" si="0"/>
        <v>0</v>
      </c>
      <c r="H25" s="207"/>
      <c r="I25" s="208"/>
      <c r="J25" s="208"/>
      <c r="K25" s="209"/>
      <c r="L25" s="8">
        <f t="shared" si="1"/>
        <v>0</v>
      </c>
    </row>
    <row r="26" spans="1:12" ht="15" x14ac:dyDescent="0.25">
      <c r="F26" s="1">
        <f>SUM(F15:F25)</f>
        <v>0</v>
      </c>
      <c r="L26" s="1">
        <f>SUM(L15:L25)</f>
        <v>0</v>
      </c>
    </row>
    <row r="28" spans="1:12" ht="14.25" customHeight="1" x14ac:dyDescent="0.25">
      <c r="A28" s="2"/>
      <c r="B28" s="226" t="str">
        <f>Oletusarvot!B13</f>
        <v>Lasipakkaukset</v>
      </c>
      <c r="C28" s="226"/>
      <c r="D28" s="226"/>
      <c r="E28" s="226"/>
      <c r="F28" s="4"/>
      <c r="G28" s="3"/>
      <c r="H28" s="226" t="str">
        <f>Oletusarvot!B12</f>
        <v>Metalli</v>
      </c>
      <c r="I28" s="226"/>
      <c r="J28" s="226"/>
      <c r="K28" s="226"/>
      <c r="L28" s="4"/>
    </row>
    <row r="29" spans="1:12" ht="28.5" customHeight="1" x14ac:dyDescent="0.25">
      <c r="B29" s="1" t="str">
        <f>$B$14</f>
        <v>Astia</v>
      </c>
      <c r="C29" s="21" t="str">
        <f>$C$14</f>
        <v>Astiamäärä alueella (kpl)</v>
      </c>
      <c r="D29" s="21" t="str">
        <f>$D$14</f>
        <v>Tyhjennykset vuodessa (kpl)</v>
      </c>
      <c r="E29" s="20" t="str">
        <f>$E$14</f>
        <v>Keräyksen ja kuljetuksen kustannus (€/ast/tyhjennys)</v>
      </c>
      <c r="H29" s="1" t="str">
        <f>$B$14</f>
        <v>Astia</v>
      </c>
      <c r="I29" s="21" t="str">
        <f>$C$14</f>
        <v>Astiamäärä alueella (kpl)</v>
      </c>
      <c r="J29" s="21" t="str">
        <f>$D$14</f>
        <v>Tyhjennykset vuodessa (kpl)</v>
      </c>
      <c r="K29" s="20" t="str">
        <f>$E$14</f>
        <v>Keräyksen ja kuljetuksen kustannus (€/ast/tyhjennys)</v>
      </c>
    </row>
    <row r="30" spans="1:12" ht="15" x14ac:dyDescent="0.25">
      <c r="B30" s="207"/>
      <c r="C30" s="208"/>
      <c r="D30" s="208"/>
      <c r="E30" s="209"/>
      <c r="F30" s="1">
        <f t="shared" ref="F30:F35" si="2">D30*E30</f>
        <v>0</v>
      </c>
      <c r="H30" s="207"/>
      <c r="I30" s="208"/>
      <c r="J30" s="208"/>
      <c r="K30" s="209"/>
      <c r="L30" s="1">
        <f t="shared" ref="L30:L35" si="3">J30*K30</f>
        <v>0</v>
      </c>
    </row>
    <row r="31" spans="1:12" ht="15" x14ac:dyDescent="0.25">
      <c r="B31" s="207"/>
      <c r="C31" s="208"/>
      <c r="D31" s="208"/>
      <c r="E31" s="209"/>
      <c r="F31" s="1">
        <f t="shared" si="2"/>
        <v>0</v>
      </c>
      <c r="H31" s="207"/>
      <c r="I31" s="208"/>
      <c r="J31" s="208"/>
      <c r="K31" s="209"/>
      <c r="L31" s="1">
        <f t="shared" si="3"/>
        <v>0</v>
      </c>
    </row>
    <row r="32" spans="1:12" ht="15" x14ac:dyDescent="0.25">
      <c r="B32" s="207"/>
      <c r="C32" s="208"/>
      <c r="D32" s="208"/>
      <c r="E32" s="209"/>
      <c r="F32" s="1">
        <f t="shared" si="2"/>
        <v>0</v>
      </c>
      <c r="H32" s="207"/>
      <c r="I32" s="208"/>
      <c r="J32" s="208"/>
      <c r="K32" s="209"/>
      <c r="L32" s="1">
        <f t="shared" si="3"/>
        <v>0</v>
      </c>
    </row>
    <row r="33" spans="1:12" x14ac:dyDescent="0.3">
      <c r="B33" s="207"/>
      <c r="C33" s="208"/>
      <c r="D33" s="208"/>
      <c r="E33" s="209"/>
      <c r="F33" s="1">
        <f t="shared" si="2"/>
        <v>0</v>
      </c>
      <c r="H33" s="207"/>
      <c r="I33" s="208"/>
      <c r="J33" s="208"/>
      <c r="K33" s="209"/>
      <c r="L33" s="1">
        <f t="shared" si="3"/>
        <v>0</v>
      </c>
    </row>
    <row r="34" spans="1:12" x14ac:dyDescent="0.3">
      <c r="B34" s="207"/>
      <c r="C34" s="208"/>
      <c r="D34" s="208"/>
      <c r="E34" s="209"/>
      <c r="F34" s="1">
        <f t="shared" si="2"/>
        <v>0</v>
      </c>
      <c r="H34" s="207"/>
      <c r="I34" s="208"/>
      <c r="J34" s="208"/>
      <c r="K34" s="209"/>
      <c r="L34" s="1">
        <f t="shared" si="3"/>
        <v>0</v>
      </c>
    </row>
    <row r="35" spans="1:12" x14ac:dyDescent="0.3">
      <c r="B35" s="207"/>
      <c r="C35" s="208"/>
      <c r="D35" s="208"/>
      <c r="E35" s="209"/>
      <c r="F35" s="8">
        <f t="shared" si="2"/>
        <v>0</v>
      </c>
      <c r="H35" s="207"/>
      <c r="I35" s="208"/>
      <c r="J35" s="208"/>
      <c r="K35" s="209"/>
      <c r="L35" s="8">
        <f t="shared" si="3"/>
        <v>0</v>
      </c>
    </row>
    <row r="36" spans="1:12" x14ac:dyDescent="0.3">
      <c r="F36" s="1">
        <f>SUM(F30:F35)</f>
        <v>0</v>
      </c>
      <c r="L36" s="1">
        <f>SUM(L30:L35)</f>
        <v>0</v>
      </c>
    </row>
    <row r="38" spans="1:12" ht="14.25" customHeight="1" x14ac:dyDescent="0.3">
      <c r="A38" s="2"/>
      <c r="B38" s="225" t="str">
        <f>Oletusarvot!B11</f>
        <v>Kartonkipakkaukset</v>
      </c>
      <c r="C38" s="225"/>
      <c r="D38" s="225"/>
      <c r="E38" s="225"/>
      <c r="F38" s="4"/>
      <c r="G38" s="3"/>
      <c r="H38" s="226" t="str">
        <f>Oletusarvot!B14</f>
        <v>Paperi</v>
      </c>
      <c r="I38" s="226"/>
      <c r="J38" s="226"/>
      <c r="K38" s="226"/>
      <c r="L38" s="4"/>
    </row>
    <row r="39" spans="1:12" ht="30" customHeight="1" x14ac:dyDescent="0.3">
      <c r="B39" s="1" t="str">
        <f>$B$14</f>
        <v>Astia</v>
      </c>
      <c r="C39" s="21" t="str">
        <f>$C$14</f>
        <v>Astiamäärä alueella (kpl)</v>
      </c>
      <c r="D39" s="21" t="str">
        <f>$D$14</f>
        <v>Tyhjennykset vuodessa (kpl)</v>
      </c>
      <c r="E39" s="20" t="str">
        <f>$E$14</f>
        <v>Keräyksen ja kuljetuksen kustannus (€/ast/tyhjennys)</v>
      </c>
      <c r="H39" s="1" t="str">
        <f>$B$14</f>
        <v>Astia</v>
      </c>
      <c r="I39" s="21" t="str">
        <f>$C$14</f>
        <v>Astiamäärä alueella (kpl)</v>
      </c>
      <c r="J39" s="21" t="str">
        <f>$D$14</f>
        <v>Tyhjennykset vuodessa (kpl)</v>
      </c>
      <c r="K39" s="20" t="str">
        <f>$E$14</f>
        <v>Keräyksen ja kuljetuksen kustannus (€/ast/tyhjennys)</v>
      </c>
    </row>
    <row r="40" spans="1:12" x14ac:dyDescent="0.3">
      <c r="B40" s="207"/>
      <c r="C40" s="208"/>
      <c r="D40" s="208"/>
      <c r="E40" s="209"/>
      <c r="F40" s="1">
        <f>D40*E40</f>
        <v>0</v>
      </c>
      <c r="H40" s="207"/>
      <c r="I40" s="208"/>
      <c r="J40" s="208"/>
      <c r="K40" s="209"/>
      <c r="L40" s="12">
        <f>J40*K40</f>
        <v>0</v>
      </c>
    </row>
    <row r="41" spans="1:12" x14ac:dyDescent="0.3">
      <c r="B41" s="207"/>
      <c r="C41" s="208"/>
      <c r="D41" s="208"/>
      <c r="E41" s="209"/>
      <c r="F41" s="1">
        <f>C41*D41*E41</f>
        <v>0</v>
      </c>
      <c r="H41" s="207"/>
      <c r="I41" s="208"/>
      <c r="J41" s="208"/>
      <c r="K41" s="209"/>
      <c r="L41" s="12">
        <f>J41*K41</f>
        <v>0</v>
      </c>
    </row>
    <row r="42" spans="1:12" x14ac:dyDescent="0.3">
      <c r="B42" s="207"/>
      <c r="C42" s="208"/>
      <c r="D42" s="208"/>
      <c r="E42" s="209"/>
      <c r="F42" s="1">
        <f>C42*D42*E42</f>
        <v>0</v>
      </c>
      <c r="H42" s="207"/>
      <c r="I42" s="208"/>
      <c r="J42" s="208"/>
      <c r="K42" s="209"/>
      <c r="L42" s="12">
        <f>J42*K42</f>
        <v>0</v>
      </c>
    </row>
    <row r="43" spans="1:12" x14ac:dyDescent="0.3">
      <c r="B43" s="207"/>
      <c r="C43" s="208"/>
      <c r="D43" s="208"/>
      <c r="E43" s="209"/>
      <c r="F43" s="1">
        <f>C43*D43*E43</f>
        <v>0</v>
      </c>
      <c r="H43" s="207"/>
      <c r="I43" s="208"/>
      <c r="J43" s="208"/>
      <c r="K43" s="209"/>
      <c r="L43" s="12">
        <f>J43*K43</f>
        <v>0</v>
      </c>
    </row>
    <row r="44" spans="1:12" x14ac:dyDescent="0.3">
      <c r="B44" s="207"/>
      <c r="C44" s="208"/>
      <c r="D44" s="208"/>
      <c r="E44" s="209"/>
      <c r="F44" s="8">
        <f>C44*D44*E44</f>
        <v>0</v>
      </c>
      <c r="H44" s="207"/>
      <c r="I44" s="208"/>
      <c r="J44" s="208"/>
      <c r="K44" s="209"/>
      <c r="L44" s="8">
        <f>J44*K44</f>
        <v>0</v>
      </c>
    </row>
    <row r="45" spans="1:12" x14ac:dyDescent="0.3">
      <c r="F45" s="1">
        <f>SUM(F40:F44)</f>
        <v>0</v>
      </c>
      <c r="L45" s="1">
        <f>SUM(L40:L44)</f>
        <v>0</v>
      </c>
    </row>
    <row r="47" spans="1:12" x14ac:dyDescent="0.3">
      <c r="A47" s="2"/>
      <c r="B47" s="225" t="str">
        <f>Oletusarvot!B15</f>
        <v>Muovipakkaukset</v>
      </c>
      <c r="C47" s="225"/>
      <c r="D47" s="225"/>
      <c r="E47" s="225"/>
      <c r="F47" s="4"/>
      <c r="G47" s="3"/>
      <c r="L47" s="4"/>
    </row>
    <row r="48" spans="1:12" ht="31.5" customHeight="1" x14ac:dyDescent="0.3">
      <c r="B48" s="1" t="str">
        <f>$B$14</f>
        <v>Astia</v>
      </c>
      <c r="C48" s="21" t="str">
        <f>$C$14</f>
        <v>Astiamäärä alueella (kpl)</v>
      </c>
      <c r="D48" s="21" t="str">
        <f>$D$14</f>
        <v>Tyhjennykset vuodessa (kpl)</v>
      </c>
      <c r="E48" s="20" t="str">
        <f>$E$14</f>
        <v>Keräyksen ja kuljetuksen kustannus (€/ast/tyhjennys)</v>
      </c>
    </row>
    <row r="49" spans="1:12" x14ac:dyDescent="0.3">
      <c r="B49" s="207"/>
      <c r="C49" s="208"/>
      <c r="D49" s="208"/>
      <c r="E49" s="209"/>
      <c r="F49" s="1">
        <f>C49*D49*E49</f>
        <v>0</v>
      </c>
    </row>
    <row r="50" spans="1:12" x14ac:dyDescent="0.3">
      <c r="B50" s="207"/>
      <c r="C50" s="208"/>
      <c r="D50" s="208"/>
      <c r="E50" s="209"/>
      <c r="F50" s="8">
        <f>C50*D50*E50</f>
        <v>0</v>
      </c>
      <c r="L50" s="12"/>
    </row>
    <row r="51" spans="1:12" ht="15" thickBot="1" x14ac:dyDescent="0.35">
      <c r="F51" s="13">
        <f>SUM(F49:F50)</f>
        <v>0</v>
      </c>
      <c r="L51" s="11"/>
    </row>
    <row r="52" spans="1:12" ht="15" thickTop="1" x14ac:dyDescent="0.3">
      <c r="F52" s="1">
        <f>SUM(F15:F25,F30:F35,F40:F44,F49:F50)</f>
        <v>0</v>
      </c>
      <c r="L52" s="1">
        <f>SUM(L15:L25,L30:L35,L40:L44)</f>
        <v>0</v>
      </c>
    </row>
    <row r="59" spans="1:12" ht="15" customHeight="1" x14ac:dyDescent="0.3">
      <c r="A59" s="7"/>
      <c r="B59" s="7"/>
    </row>
    <row r="60" spans="1:12" x14ac:dyDescent="0.3">
      <c r="A60" s="7"/>
      <c r="B60" s="7"/>
    </row>
  </sheetData>
  <sheetProtection sheet="1" objects="1" scenarios="1"/>
  <mergeCells count="7">
    <mergeCell ref="B47:E47"/>
    <mergeCell ref="B13:E13"/>
    <mergeCell ref="H13:K13"/>
    <mergeCell ref="B28:E28"/>
    <mergeCell ref="H28:K28"/>
    <mergeCell ref="B38:E38"/>
    <mergeCell ref="H38:K38"/>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errorTitle="Väärä arvo" error="Valitse astia listasta" promptTitle="Sekajäteastia" prompt="Valitse astiatyyppi">
          <x14:formula1>
            <xm:f>Säiliöt!$A$2:$A$16</xm:f>
          </x14:formula1>
          <xm:sqref>B15:B25</xm:sqref>
        </x14:dataValidation>
        <x14:dataValidation type="list" allowBlank="1" showInputMessage="1" showErrorMessage="1" errorTitle="Väärä arvo" error="Valitse astia listasta" promptTitle="Biojäteastia" prompt="Valitse astiatyyppi">
          <x14:formula1>
            <xm:f>Säiliöt!$A$2:$A$16</xm:f>
          </x14:formula1>
          <xm:sqref>H15:H25</xm:sqref>
        </x14:dataValidation>
        <x14:dataValidation type="list" allowBlank="1" showInputMessage="1" showErrorMessage="1" errorTitle="Väärä arvo" error="Valitse astia listasta" promptTitle="Lasiastia" prompt="Valitse astiatyyppi">
          <x14:formula1>
            <xm:f>Säiliöt!$C$2:$C$16</xm:f>
          </x14:formula1>
          <xm:sqref>B30:B35</xm:sqref>
        </x14:dataValidation>
        <x14:dataValidation type="list" allowBlank="1" showInputMessage="1" showErrorMessage="1" errorTitle="Väärä arvo" error="Valitse astia listasta" promptTitle="Metallikeräysastia" prompt="Valitse astiatyyppi">
          <x14:formula1>
            <xm:f>Säiliöt!$C$2:$C$16</xm:f>
          </x14:formula1>
          <xm:sqref>H30:H35</xm:sqref>
        </x14:dataValidation>
        <x14:dataValidation type="list" allowBlank="1" showInputMessage="1" showErrorMessage="1" errorTitle="Väärä arvo" error="Valitse astia listasta" promptTitle="Kartonkikeräysastia" prompt="Valitse astiatyyppi">
          <x14:formula1>
            <xm:f>Säiliöt!$E$2:$E$16</xm:f>
          </x14:formula1>
          <xm:sqref>B40:B44</xm:sqref>
        </x14:dataValidation>
        <x14:dataValidation type="list" allowBlank="1" showInputMessage="1" showErrorMessage="1" errorTitle="Väärä arvo" error="Valitse astia listasta" promptTitle="Paperinkeräysastia" prompt="Valitse astiatyyppi">
          <x14:formula1>
            <xm:f>Säiliöt!$E$2:$E$16</xm:f>
          </x14:formula1>
          <xm:sqref>H40:H44</xm:sqref>
        </x14:dataValidation>
        <x14:dataValidation type="list" allowBlank="1" showInputMessage="1" showErrorMessage="1" errorTitle="Väärä arvo" error="Valitse astia listasta" promptTitle="Muovinkeräysastia" prompt="Valitse astiatyyppi">
          <x14:formula1>
            <xm:f>Säiliöt!$G$2:$G$16</xm:f>
          </x14:formula1>
          <xm:sqref>B49:B50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69"/>
  <sheetViews>
    <sheetView zoomScale="90" zoomScaleNormal="90" workbookViewId="0">
      <selection activeCell="L7" sqref="L7"/>
    </sheetView>
  </sheetViews>
  <sheetFormatPr defaultColWidth="9.109375" defaultRowHeight="14.4" x14ac:dyDescent="0.3"/>
  <cols>
    <col min="1" max="1" width="2.88671875" style="1" customWidth="1"/>
    <col min="2" max="2" width="19.5546875" style="1" customWidth="1"/>
    <col min="3" max="3" width="7" style="1" customWidth="1"/>
    <col min="4" max="4" width="6.109375" style="1" hidden="1" customWidth="1"/>
    <col min="5" max="5" width="13.33203125" style="1" customWidth="1"/>
    <col min="6" max="6" width="4" style="1" customWidth="1"/>
    <col min="7" max="7" width="19.5546875" style="1" customWidth="1"/>
    <col min="8" max="8" width="7.88671875" style="1" customWidth="1"/>
    <col min="9" max="9" width="6.109375" style="1" hidden="1" customWidth="1"/>
    <col min="10" max="10" width="9.88671875" style="1" customWidth="1"/>
    <col min="11" max="11" width="4" style="1" customWidth="1"/>
    <col min="12" max="12" width="19.5546875" style="1" customWidth="1"/>
    <col min="13" max="13" width="7" style="1" customWidth="1"/>
    <col min="14" max="14" width="6.109375" style="1" hidden="1" customWidth="1"/>
    <col min="15" max="15" width="9.88671875" style="1" customWidth="1"/>
    <col min="16" max="16" width="4" style="1" customWidth="1"/>
    <col min="17" max="17" width="19.5546875" style="1" customWidth="1"/>
    <col min="18" max="18" width="7" style="1" customWidth="1"/>
    <col min="19" max="19" width="6.109375" style="1" hidden="1" customWidth="1"/>
    <col min="20" max="20" width="9.88671875" style="1" customWidth="1"/>
    <col min="21" max="21" width="4" style="1" customWidth="1"/>
    <col min="22" max="22" width="19.5546875" style="1" customWidth="1"/>
    <col min="23" max="23" width="7" style="1" customWidth="1"/>
    <col min="24" max="24" width="6.109375" style="1" hidden="1" customWidth="1"/>
    <col min="25" max="25" width="9.88671875" style="1" customWidth="1"/>
    <col min="26" max="26" width="4" style="1" customWidth="1"/>
    <col min="27" max="27" width="19.5546875" style="1" customWidth="1"/>
    <col min="28" max="28" width="7" style="1" customWidth="1"/>
    <col min="29" max="29" width="6.109375" style="1" hidden="1" customWidth="1"/>
    <col min="30" max="30" width="9.88671875" style="1" customWidth="1"/>
    <col min="31" max="31" width="4" style="1" customWidth="1"/>
    <col min="32" max="32" width="19.5546875" style="1" customWidth="1"/>
    <col min="33" max="33" width="7" style="1" customWidth="1"/>
    <col min="34" max="34" width="6.109375" style="1" hidden="1" customWidth="1"/>
    <col min="35" max="35" width="9.88671875" style="1" customWidth="1"/>
    <col min="36" max="38" width="9.109375" style="1"/>
    <col min="39" max="39" width="9.109375" style="1" customWidth="1"/>
    <col min="40" max="16384" width="9.109375" style="1"/>
  </cols>
  <sheetData>
    <row r="1" spans="1:35" ht="21" x14ac:dyDescent="0.35">
      <c r="B1" s="18" t="s">
        <v>8</v>
      </c>
      <c r="D1" s="1" t="s">
        <v>35</v>
      </c>
      <c r="G1" s="2"/>
      <c r="I1" s="1" t="s">
        <v>35</v>
      </c>
      <c r="L1" s="2"/>
      <c r="N1" s="1" t="s">
        <v>35</v>
      </c>
      <c r="Q1" s="2"/>
      <c r="S1" s="1" t="s">
        <v>35</v>
      </c>
      <c r="V1" s="2"/>
      <c r="X1" s="1" t="s">
        <v>35</v>
      </c>
      <c r="AA1" s="2"/>
      <c r="AC1" s="1" t="s">
        <v>35</v>
      </c>
      <c r="AF1" s="2"/>
      <c r="AH1" s="1" t="s">
        <v>35</v>
      </c>
    </row>
    <row r="2" spans="1:35" ht="15" x14ac:dyDescent="0.25">
      <c r="B2" s="2"/>
      <c r="G2" s="2"/>
      <c r="L2" s="2"/>
      <c r="Q2" s="2"/>
      <c r="V2" s="2"/>
      <c r="AA2" s="2"/>
      <c r="AF2" s="2"/>
    </row>
    <row r="3" spans="1:35" ht="15" x14ac:dyDescent="0.25">
      <c r="B3" s="187" t="str">
        <f>Ohje!C78</f>
        <v xml:space="preserve">Tällä välilehdellä valitaan palvelutasot. </v>
      </c>
      <c r="C3" s="187"/>
      <c r="D3" s="187"/>
      <c r="E3" s="187"/>
      <c r="F3" s="187"/>
      <c r="G3" s="186"/>
      <c r="H3" s="187"/>
      <c r="I3" s="187"/>
      <c r="J3" s="187"/>
      <c r="K3" s="187"/>
      <c r="L3" s="186"/>
      <c r="M3" s="187"/>
      <c r="N3" s="187"/>
      <c r="O3" s="187"/>
      <c r="P3" s="187"/>
      <c r="Q3" s="186"/>
      <c r="R3" s="187"/>
      <c r="S3" s="187"/>
      <c r="T3" s="187"/>
      <c r="U3" s="187"/>
      <c r="V3" s="2"/>
      <c r="AA3" s="2"/>
      <c r="AF3" s="2"/>
    </row>
    <row r="4" spans="1:35" ht="15" x14ac:dyDescent="0.25">
      <c r="B4" s="187" t="str">
        <f>Ohje!C79</f>
        <v>Kiinteistölle tarjottavien lajitteluvaihtoehtojen määrä määrittää kiinteistön palvelutason. Esimerkiksi kaikki kiinteistöt, joilla on seka- ja biojäteastiat kuuluvat palvelutasolle 2 (solut L38-L44).</v>
      </c>
      <c r="C4" s="187"/>
      <c r="D4" s="187"/>
      <c r="E4" s="187"/>
      <c r="F4" s="187"/>
      <c r="G4" s="186"/>
      <c r="H4" s="187"/>
      <c r="I4" s="187"/>
      <c r="J4" s="187"/>
      <c r="K4" s="187"/>
      <c r="L4" s="186"/>
      <c r="M4" s="187"/>
      <c r="N4" s="187"/>
      <c r="O4" s="187"/>
      <c r="P4" s="187"/>
      <c r="Q4" s="186"/>
      <c r="R4" s="187"/>
      <c r="S4" s="187"/>
      <c r="T4" s="187"/>
      <c r="U4" s="187"/>
      <c r="V4" s="2"/>
      <c r="AA4" s="2"/>
      <c r="AF4" s="2"/>
    </row>
    <row r="5" spans="1:35" ht="15" x14ac:dyDescent="0.25">
      <c r="B5" s="187" t="str">
        <f>Ohje!C80</f>
        <v>Lisäksi kiinteistöt, joilla on yhtä monta lajitteluvaihtoehtoa, niputetaan yhteen ja ovat siten samaa palvelutasoa.</v>
      </c>
      <c r="C5" s="187"/>
      <c r="D5" s="187"/>
      <c r="E5" s="187"/>
      <c r="F5" s="187"/>
      <c r="G5" s="186"/>
      <c r="H5" s="187"/>
      <c r="I5" s="187"/>
      <c r="J5" s="187"/>
      <c r="K5" s="187"/>
      <c r="L5" s="186"/>
      <c r="M5" s="187"/>
      <c r="N5" s="187"/>
      <c r="O5" s="187"/>
      <c r="P5" s="187"/>
      <c r="Q5" s="186"/>
      <c r="R5" s="187"/>
      <c r="S5" s="187"/>
      <c r="T5" s="187"/>
      <c r="U5" s="187"/>
      <c r="V5" s="2"/>
      <c r="AA5" s="2"/>
      <c r="AF5" s="2"/>
    </row>
    <row r="6" spans="1:35" ht="15" x14ac:dyDescent="0.25">
      <c r="B6" s="187" t="str">
        <f>Ohje!C81</f>
        <v>1. Mitä eri yhdistelmiä toimialueellanne on? Listatkaa ne, ja rastittakaa ruudut sen mukaan, mitä eri lajitteluvaihtoehtojen yhdistelmiä toimialueella on. Yksi taso = yksi yhdistelmä.</v>
      </c>
      <c r="C6" s="187"/>
      <c r="D6" s="187"/>
      <c r="E6" s="187"/>
      <c r="F6" s="187"/>
      <c r="G6" s="186"/>
      <c r="H6" s="187"/>
      <c r="I6" s="187"/>
      <c r="J6" s="187"/>
      <c r="K6" s="187"/>
      <c r="L6" s="186"/>
      <c r="M6" s="187"/>
      <c r="N6" s="187"/>
      <c r="O6" s="187"/>
      <c r="P6" s="187"/>
      <c r="Q6" s="186"/>
      <c r="R6" s="187"/>
      <c r="S6" s="187"/>
      <c r="T6" s="187"/>
      <c r="U6" s="187"/>
      <c r="V6" s="2"/>
      <c r="AA6" s="2"/>
      <c r="AF6" s="2"/>
    </row>
    <row r="7" spans="1:35" ht="15" x14ac:dyDescent="0.25">
      <c r="B7" s="187" t="str">
        <f>Ohje!C82</f>
        <v>2. Jokaisella valitulla palvelutasolla; arvioikaa kiinteistöjen määrä ja asukkaiden määrä per kiinteistö. Tässä kohtaa voi ottaa mallia KIVO:n määritelmästä kiinteistöjen tyypistä [1], katso kuva alla.</v>
      </c>
      <c r="C7" s="187"/>
      <c r="D7" s="187"/>
      <c r="E7" s="187"/>
      <c r="F7" s="187"/>
      <c r="G7" s="186"/>
      <c r="H7" s="187"/>
      <c r="I7" s="187"/>
      <c r="J7" s="187"/>
      <c r="K7" s="187"/>
      <c r="L7" s="186"/>
      <c r="M7" s="187"/>
      <c r="N7" s="187"/>
      <c r="O7" s="187"/>
      <c r="P7" s="187"/>
      <c r="Q7" s="186"/>
      <c r="R7" s="187"/>
      <c r="S7" s="187"/>
      <c r="T7" s="187"/>
      <c r="U7" s="187"/>
      <c r="V7" s="2"/>
      <c r="AA7" s="2"/>
      <c r="AF7" s="2"/>
    </row>
    <row r="8" spans="1:35" ht="15" x14ac:dyDescent="0.25">
      <c r="B8" s="187" t="str">
        <f>Ohje!C83</f>
        <v xml:space="preserve">     Syöttäkää jokaiseen valitun palvelutason taulukkoon</v>
      </c>
      <c r="C8" s="187"/>
      <c r="D8" s="187"/>
      <c r="E8" s="187"/>
      <c r="F8" s="187"/>
      <c r="G8" s="186"/>
      <c r="H8" s="187"/>
      <c r="I8" s="187"/>
      <c r="J8" s="187"/>
      <c r="K8" s="187"/>
      <c r="L8" s="186"/>
      <c r="M8" s="187"/>
      <c r="N8" s="187"/>
      <c r="O8" s="187"/>
      <c r="P8" s="187"/>
      <c r="Q8" s="186"/>
      <c r="R8" s="187"/>
      <c r="S8" s="187"/>
      <c r="T8" s="187"/>
      <c r="U8" s="187"/>
      <c r="V8" s="2"/>
      <c r="AA8" s="2"/>
      <c r="AF8" s="2"/>
    </row>
    <row r="9" spans="1:35" ht="15" x14ac:dyDescent="0.25">
      <c r="B9" s="187"/>
      <c r="C9" s="187" t="str">
        <f>Ohje!D84</f>
        <v>a. kerrostalojen lukumäärä ja asukkaiden keskiarvolukumäärä per kerrostalokiinteistö.</v>
      </c>
      <c r="D9" s="187"/>
      <c r="E9" s="187"/>
      <c r="F9" s="187"/>
      <c r="G9" s="186"/>
      <c r="H9" s="187"/>
      <c r="I9" s="187"/>
      <c r="J9" s="187"/>
      <c r="K9" s="187"/>
      <c r="L9" s="186"/>
      <c r="M9" s="187"/>
      <c r="N9" s="187"/>
      <c r="O9" s="187"/>
      <c r="P9" s="187"/>
      <c r="Q9" s="186"/>
      <c r="R9" s="187"/>
      <c r="S9" s="187"/>
      <c r="T9" s="187"/>
      <c r="U9" s="187"/>
      <c r="V9" s="2"/>
      <c r="AA9" s="2"/>
      <c r="AF9" s="2"/>
    </row>
    <row r="10" spans="1:35" ht="15" x14ac:dyDescent="0.25">
      <c r="B10" s="187"/>
      <c r="C10" s="187" t="str">
        <f>Ohje!D85</f>
        <v>b. rivitalojen lukumäärämäärä ja asukkaiden keskiarvolukumäärä per rivitalokiinteistö.</v>
      </c>
      <c r="D10" s="187"/>
      <c r="E10" s="187"/>
      <c r="F10" s="187"/>
      <c r="G10" s="186"/>
      <c r="H10" s="187"/>
      <c r="I10" s="187"/>
      <c r="J10" s="187"/>
      <c r="K10" s="187"/>
      <c r="L10" s="186"/>
      <c r="M10" s="187"/>
      <c r="N10" s="187"/>
      <c r="O10" s="187"/>
      <c r="P10" s="187"/>
      <c r="Q10" s="186"/>
      <c r="R10" s="187"/>
      <c r="S10" s="187"/>
      <c r="T10" s="187"/>
      <c r="U10" s="187"/>
      <c r="V10" s="2"/>
      <c r="AA10" s="2"/>
      <c r="AF10" s="2"/>
    </row>
    <row r="11" spans="1:35" ht="15" x14ac:dyDescent="0.25">
      <c r="B11" s="187"/>
      <c r="C11" s="187" t="str">
        <f>Ohje!D86</f>
        <v xml:space="preserve">c. omakotitalokiinteistöjen (ilman kotikompostointia) määrä ja asukkaiden keskiarvolukumäärä per kiinteistö. </v>
      </c>
      <c r="D11" s="187"/>
      <c r="E11" s="187"/>
      <c r="F11" s="187"/>
      <c r="G11" s="186"/>
      <c r="H11" s="187"/>
      <c r="I11" s="187"/>
      <c r="J11" s="187"/>
      <c r="K11" s="187"/>
      <c r="L11" s="186"/>
      <c r="M11" s="187"/>
      <c r="N11" s="187"/>
      <c r="O11" s="187"/>
      <c r="P11" s="187"/>
      <c r="Q11" s="186"/>
      <c r="R11" s="187"/>
      <c r="S11" s="187"/>
      <c r="T11" s="187"/>
      <c r="U11" s="187"/>
      <c r="V11" s="2"/>
      <c r="AA11" s="2"/>
      <c r="AF11" s="2"/>
    </row>
    <row r="12" spans="1:35" ht="15" x14ac:dyDescent="0.25">
      <c r="B12" s="187"/>
      <c r="C12" s="187" t="str">
        <f>Ohje!D87</f>
        <v xml:space="preserve">d. kompostoivien omakotitalokiinteistöjen (K = kotikompostoinnilla) määrä ja asukkaiden keskiarvolukumäärä per kiinteistö. </v>
      </c>
      <c r="D12" s="187"/>
      <c r="E12" s="187"/>
      <c r="F12" s="187"/>
      <c r="G12" s="186"/>
      <c r="H12" s="187"/>
      <c r="I12" s="187"/>
      <c r="J12" s="187"/>
      <c r="K12" s="187"/>
      <c r="L12" s="186"/>
      <c r="M12" s="187"/>
      <c r="N12" s="187"/>
      <c r="O12" s="187"/>
      <c r="P12" s="187"/>
      <c r="Q12" s="186"/>
      <c r="R12" s="187"/>
      <c r="S12" s="187"/>
      <c r="T12" s="187"/>
      <c r="U12" s="187"/>
      <c r="V12" s="2"/>
      <c r="AA12" s="2"/>
      <c r="AF12" s="2"/>
    </row>
    <row r="13" spans="1:35" ht="15" x14ac:dyDescent="0.25">
      <c r="B13" s="187" t="str">
        <f>Ohje!C88</f>
        <v>Välilehti laskee oletuskertymien avulla tasokohtaiset jätemäärät.</v>
      </c>
      <c r="C13" s="187"/>
      <c r="D13" s="187"/>
      <c r="E13" s="187"/>
      <c r="F13" s="187"/>
      <c r="G13" s="186"/>
      <c r="H13" s="187"/>
      <c r="I13" s="187"/>
      <c r="J13" s="187"/>
      <c r="K13" s="187"/>
      <c r="L13" s="186"/>
      <c r="M13" s="187"/>
      <c r="N13" s="187"/>
      <c r="O13" s="187"/>
      <c r="P13" s="187"/>
      <c r="Q13" s="186"/>
      <c r="R13" s="187"/>
      <c r="S13" s="187"/>
      <c r="T13" s="187"/>
      <c r="U13" s="187"/>
      <c r="V13" s="2"/>
      <c r="AA13" s="2"/>
      <c r="AF13" s="2"/>
    </row>
    <row r="14" spans="1:35" ht="15" customHeight="1" x14ac:dyDescent="0.35">
      <c r="B14" s="18"/>
      <c r="G14" s="2"/>
      <c r="L14" s="2"/>
      <c r="Q14" s="2"/>
      <c r="V14" s="2"/>
      <c r="AA14" s="2"/>
      <c r="AF14" s="2"/>
    </row>
    <row r="15" spans="1:35" ht="15" x14ac:dyDescent="0.25">
      <c r="A15" s="12"/>
      <c r="B15" s="36" t="s">
        <v>42</v>
      </c>
      <c r="C15" s="210"/>
      <c r="D15" s="37"/>
      <c r="E15" s="123" t="s">
        <v>135</v>
      </c>
      <c r="F15" s="12"/>
      <c r="G15" s="36" t="s">
        <v>43</v>
      </c>
      <c r="H15" s="210"/>
      <c r="I15" s="37"/>
      <c r="J15" s="123" t="str">
        <f>$E$15</f>
        <v>t</v>
      </c>
      <c r="K15" s="12"/>
      <c r="L15" s="36" t="s">
        <v>44</v>
      </c>
      <c r="M15" s="210"/>
      <c r="N15" s="37"/>
      <c r="O15" s="123" t="str">
        <f>$E$15</f>
        <v>t</v>
      </c>
      <c r="P15" s="12"/>
      <c r="Q15" s="36" t="s">
        <v>45</v>
      </c>
      <c r="R15" s="210"/>
      <c r="S15" s="37"/>
      <c r="T15" s="123" t="str">
        <f>$E$15</f>
        <v>t</v>
      </c>
      <c r="U15" s="12"/>
      <c r="V15" s="36" t="s">
        <v>46</v>
      </c>
      <c r="W15" s="210"/>
      <c r="X15" s="37"/>
      <c r="Y15" s="123" t="str">
        <f>$E$15</f>
        <v>t</v>
      </c>
      <c r="Z15" s="12"/>
      <c r="AA15" s="36" t="s">
        <v>47</v>
      </c>
      <c r="AB15" s="210"/>
      <c r="AC15" s="37"/>
      <c r="AD15" s="123" t="str">
        <f>$E$15</f>
        <v>t</v>
      </c>
      <c r="AE15" s="12"/>
      <c r="AF15" s="36" t="s">
        <v>48</v>
      </c>
      <c r="AG15" s="210"/>
      <c r="AH15" s="37"/>
      <c r="AI15" s="123" t="str">
        <f>$E$15</f>
        <v>t</v>
      </c>
    </row>
    <row r="16" spans="1:35" ht="15" x14ac:dyDescent="0.25">
      <c r="A16" s="12"/>
      <c r="B16" s="38" t="str">
        <f>Oletusarvot!B9</f>
        <v>Sekajäte</v>
      </c>
      <c r="C16" s="211"/>
      <c r="D16" s="38" t="b">
        <v>0</v>
      </c>
      <c r="E16" s="39">
        <f>(C31-SUM(E17:E22))</f>
        <v>0</v>
      </c>
      <c r="F16" s="12"/>
      <c r="G16" s="38" t="str">
        <f>Oletusarvot!B9</f>
        <v>Sekajäte</v>
      </c>
      <c r="H16" s="211"/>
      <c r="I16" s="38" t="b">
        <v>0</v>
      </c>
      <c r="J16" s="39">
        <f>(H31-SUM(J17:J22))</f>
        <v>0</v>
      </c>
      <c r="K16" s="12"/>
      <c r="L16" s="38" t="str">
        <f>Oletusarvot!B9</f>
        <v>Sekajäte</v>
      </c>
      <c r="M16" s="211"/>
      <c r="N16" s="38" t="b">
        <v>0</v>
      </c>
      <c r="O16" s="39">
        <f>(M31-SUM(O17:O22))</f>
        <v>0</v>
      </c>
      <c r="P16" s="12"/>
      <c r="Q16" s="38" t="str">
        <f>Oletusarvot!B9</f>
        <v>Sekajäte</v>
      </c>
      <c r="R16" s="211"/>
      <c r="S16" s="38" t="b">
        <v>0</v>
      </c>
      <c r="T16" s="39">
        <f>R31-SUM(T17:T22)</f>
        <v>0</v>
      </c>
      <c r="U16" s="12"/>
      <c r="V16" s="38" t="str">
        <f>Oletusarvot!B9</f>
        <v>Sekajäte</v>
      </c>
      <c r="W16" s="211"/>
      <c r="X16" s="38" t="b">
        <v>0</v>
      </c>
      <c r="Y16" s="39">
        <f>W31-SUM(Y17:Y22)</f>
        <v>0</v>
      </c>
      <c r="Z16" s="12"/>
      <c r="AA16" s="38" t="str">
        <f>Oletusarvot!B9</f>
        <v>Sekajäte</v>
      </c>
      <c r="AB16" s="211"/>
      <c r="AC16" s="38" t="b">
        <v>0</v>
      </c>
      <c r="AD16" s="39">
        <f>AB31-SUM(AD17:AD22)</f>
        <v>0</v>
      </c>
      <c r="AE16" s="12"/>
      <c r="AF16" s="38" t="str">
        <f>Oletusarvot!B9</f>
        <v>Sekajäte</v>
      </c>
      <c r="AG16" s="211"/>
      <c r="AH16" s="38" t="b">
        <v>0</v>
      </c>
      <c r="AI16" s="39">
        <f>AG31-SUM(AI17:AI22)</f>
        <v>0</v>
      </c>
    </row>
    <row r="17" spans="1:35" ht="15" x14ac:dyDescent="0.25">
      <c r="A17" s="12"/>
      <c r="B17" s="38" t="str">
        <f>Oletusarvot!B10</f>
        <v>Biojäte</v>
      </c>
      <c r="C17" s="211"/>
      <c r="D17" s="38" t="b">
        <v>0</v>
      </c>
      <c r="E17" s="39">
        <f t="shared" ref="E17:E22" si="0">IF(D17=TRUE, $C43, 0)*$C$32/1000</f>
        <v>0</v>
      </c>
      <c r="F17" s="12"/>
      <c r="G17" s="38" t="str">
        <f>Oletusarvot!B10</f>
        <v>Biojäte</v>
      </c>
      <c r="H17" s="211"/>
      <c r="I17" s="38" t="b">
        <v>0</v>
      </c>
      <c r="J17" s="39">
        <f t="shared" ref="J17:J22" si="1">IF(I17=TRUE, $C43, 0)*$H$32/1000</f>
        <v>0</v>
      </c>
      <c r="K17" s="12"/>
      <c r="L17" s="38" t="str">
        <f>Oletusarvot!B10</f>
        <v>Biojäte</v>
      </c>
      <c r="M17" s="211"/>
      <c r="N17" s="38" t="b">
        <v>0</v>
      </c>
      <c r="O17" s="39">
        <f t="shared" ref="O17:O22" si="2">IF(N17=TRUE, $C43, 0)*$M$32/1000</f>
        <v>0</v>
      </c>
      <c r="P17" s="12"/>
      <c r="Q17" s="38" t="str">
        <f>Oletusarvot!B10</f>
        <v>Biojäte</v>
      </c>
      <c r="R17" s="211"/>
      <c r="S17" s="38" t="b">
        <v>0</v>
      </c>
      <c r="T17" s="39">
        <f t="shared" ref="T17:T22" si="3">IF(S17=TRUE, $C43, 0)*$R$32/1000</f>
        <v>0</v>
      </c>
      <c r="U17" s="12"/>
      <c r="V17" s="38" t="str">
        <f>Oletusarvot!B10</f>
        <v>Biojäte</v>
      </c>
      <c r="W17" s="211"/>
      <c r="X17" s="38" t="b">
        <v>0</v>
      </c>
      <c r="Y17" s="39">
        <f t="shared" ref="Y17:Y22" si="4">IF(X17=TRUE, $C43, 0)*$W$32/1000</f>
        <v>0</v>
      </c>
      <c r="Z17" s="12"/>
      <c r="AA17" s="38" t="str">
        <f>Oletusarvot!B10</f>
        <v>Biojäte</v>
      </c>
      <c r="AB17" s="211"/>
      <c r="AC17" s="38" t="b">
        <v>0</v>
      </c>
      <c r="AD17" s="39">
        <f t="shared" ref="AD17:AD22" si="5">IF(AC17=TRUE, $C43, 0)*$AB$32/1000</f>
        <v>0</v>
      </c>
      <c r="AE17" s="12"/>
      <c r="AF17" s="38" t="str">
        <f>Oletusarvot!B10</f>
        <v>Biojäte</v>
      </c>
      <c r="AG17" s="211"/>
      <c r="AH17" s="38" t="b">
        <v>0</v>
      </c>
      <c r="AI17" s="39">
        <f t="shared" ref="AI17:AI22" si="6">IF(AH17=TRUE, $C43, 0)*$AG$32/1000</f>
        <v>0</v>
      </c>
    </row>
    <row r="18" spans="1:35" ht="15" x14ac:dyDescent="0.25">
      <c r="A18" s="12"/>
      <c r="B18" s="38" t="str">
        <f>Oletusarvot!B11</f>
        <v>Kartonkipakkaukset</v>
      </c>
      <c r="C18" s="211"/>
      <c r="D18" s="38" t="b">
        <v>0</v>
      </c>
      <c r="E18" s="39">
        <f t="shared" si="0"/>
        <v>0</v>
      </c>
      <c r="F18" s="12"/>
      <c r="G18" s="38" t="str">
        <f>Oletusarvot!B11</f>
        <v>Kartonkipakkaukset</v>
      </c>
      <c r="H18" s="211"/>
      <c r="I18" s="38" t="b">
        <v>0</v>
      </c>
      <c r="J18" s="39">
        <f t="shared" si="1"/>
        <v>0</v>
      </c>
      <c r="K18" s="12"/>
      <c r="L18" s="38" t="str">
        <f>Oletusarvot!B11</f>
        <v>Kartonkipakkaukset</v>
      </c>
      <c r="M18" s="211"/>
      <c r="N18" s="38" t="b">
        <v>0</v>
      </c>
      <c r="O18" s="39">
        <f t="shared" si="2"/>
        <v>0</v>
      </c>
      <c r="P18" s="12"/>
      <c r="Q18" s="38" t="str">
        <f>Oletusarvot!B11</f>
        <v>Kartonkipakkaukset</v>
      </c>
      <c r="R18" s="211"/>
      <c r="S18" s="38" t="b">
        <v>0</v>
      </c>
      <c r="T18" s="39">
        <f t="shared" si="3"/>
        <v>0</v>
      </c>
      <c r="U18" s="12"/>
      <c r="V18" s="38" t="str">
        <f>Oletusarvot!B11</f>
        <v>Kartonkipakkaukset</v>
      </c>
      <c r="W18" s="211"/>
      <c r="X18" s="38" t="b">
        <v>0</v>
      </c>
      <c r="Y18" s="39">
        <f t="shared" si="4"/>
        <v>0</v>
      </c>
      <c r="Z18" s="12"/>
      <c r="AA18" s="38" t="str">
        <f>Oletusarvot!B11</f>
        <v>Kartonkipakkaukset</v>
      </c>
      <c r="AB18" s="211"/>
      <c r="AC18" s="38" t="b">
        <v>0</v>
      </c>
      <c r="AD18" s="39">
        <f t="shared" si="5"/>
        <v>0</v>
      </c>
      <c r="AE18" s="12"/>
      <c r="AF18" s="38" t="str">
        <f>Oletusarvot!B11</f>
        <v>Kartonkipakkaukset</v>
      </c>
      <c r="AG18" s="211"/>
      <c r="AH18" s="38" t="b">
        <v>0</v>
      </c>
      <c r="AI18" s="39">
        <f t="shared" si="6"/>
        <v>0</v>
      </c>
    </row>
    <row r="19" spans="1:35" ht="15" x14ac:dyDescent="0.25">
      <c r="A19" s="12"/>
      <c r="B19" s="38" t="str">
        <f>Oletusarvot!B12</f>
        <v>Metalli</v>
      </c>
      <c r="C19" s="211"/>
      <c r="D19" s="38" t="b">
        <v>0</v>
      </c>
      <c r="E19" s="39">
        <f t="shared" si="0"/>
        <v>0</v>
      </c>
      <c r="F19" s="12"/>
      <c r="G19" s="38" t="str">
        <f>Oletusarvot!B12</f>
        <v>Metalli</v>
      </c>
      <c r="H19" s="211"/>
      <c r="I19" s="38" t="b">
        <v>0</v>
      </c>
      <c r="J19" s="39">
        <f t="shared" si="1"/>
        <v>0</v>
      </c>
      <c r="K19" s="12"/>
      <c r="L19" s="38" t="str">
        <f>Oletusarvot!B12</f>
        <v>Metalli</v>
      </c>
      <c r="M19" s="211"/>
      <c r="N19" s="38" t="b">
        <v>0</v>
      </c>
      <c r="O19" s="39">
        <f t="shared" si="2"/>
        <v>0</v>
      </c>
      <c r="P19" s="12"/>
      <c r="Q19" s="38" t="str">
        <f>Oletusarvot!B12</f>
        <v>Metalli</v>
      </c>
      <c r="R19" s="211"/>
      <c r="S19" s="38" t="b">
        <v>0</v>
      </c>
      <c r="T19" s="39">
        <f t="shared" si="3"/>
        <v>0</v>
      </c>
      <c r="U19" s="12"/>
      <c r="V19" s="38" t="str">
        <f>Oletusarvot!B12</f>
        <v>Metalli</v>
      </c>
      <c r="W19" s="211"/>
      <c r="X19" s="38" t="b">
        <v>0</v>
      </c>
      <c r="Y19" s="39">
        <f t="shared" si="4"/>
        <v>0</v>
      </c>
      <c r="Z19" s="12"/>
      <c r="AA19" s="38" t="str">
        <f>Oletusarvot!B12</f>
        <v>Metalli</v>
      </c>
      <c r="AB19" s="211"/>
      <c r="AC19" s="38" t="b">
        <v>0</v>
      </c>
      <c r="AD19" s="39">
        <f t="shared" si="5"/>
        <v>0</v>
      </c>
      <c r="AE19" s="12"/>
      <c r="AF19" s="38" t="str">
        <f>Oletusarvot!B12</f>
        <v>Metalli</v>
      </c>
      <c r="AG19" s="211"/>
      <c r="AH19" s="38" t="b">
        <v>0</v>
      </c>
      <c r="AI19" s="39">
        <f t="shared" si="6"/>
        <v>0</v>
      </c>
    </row>
    <row r="20" spans="1:35" ht="15" x14ac:dyDescent="0.25">
      <c r="A20" s="12"/>
      <c r="B20" s="38" t="str">
        <f>Oletusarvot!B13</f>
        <v>Lasipakkaukset</v>
      </c>
      <c r="C20" s="211"/>
      <c r="D20" s="38" t="b">
        <v>0</v>
      </c>
      <c r="E20" s="39">
        <f t="shared" si="0"/>
        <v>0</v>
      </c>
      <c r="F20" s="12"/>
      <c r="G20" s="38" t="str">
        <f>Oletusarvot!B13</f>
        <v>Lasipakkaukset</v>
      </c>
      <c r="H20" s="211"/>
      <c r="I20" s="38" t="b">
        <v>0</v>
      </c>
      <c r="J20" s="39">
        <f t="shared" si="1"/>
        <v>0</v>
      </c>
      <c r="K20" s="12"/>
      <c r="L20" s="38" t="str">
        <f>Oletusarvot!B13</f>
        <v>Lasipakkaukset</v>
      </c>
      <c r="M20" s="211"/>
      <c r="N20" s="38" t="b">
        <v>0</v>
      </c>
      <c r="O20" s="39">
        <f t="shared" si="2"/>
        <v>0</v>
      </c>
      <c r="P20" s="12"/>
      <c r="Q20" s="38" t="str">
        <f>Oletusarvot!B13</f>
        <v>Lasipakkaukset</v>
      </c>
      <c r="R20" s="211"/>
      <c r="S20" s="38" t="b">
        <v>0</v>
      </c>
      <c r="T20" s="39">
        <f t="shared" si="3"/>
        <v>0</v>
      </c>
      <c r="U20" s="12"/>
      <c r="V20" s="38" t="str">
        <f>Oletusarvot!B13</f>
        <v>Lasipakkaukset</v>
      </c>
      <c r="W20" s="211"/>
      <c r="X20" s="38" t="b">
        <v>0</v>
      </c>
      <c r="Y20" s="39">
        <f t="shared" si="4"/>
        <v>0</v>
      </c>
      <c r="Z20" s="12"/>
      <c r="AA20" s="38" t="str">
        <f>Oletusarvot!B13</f>
        <v>Lasipakkaukset</v>
      </c>
      <c r="AB20" s="211"/>
      <c r="AC20" s="38" t="b">
        <v>0</v>
      </c>
      <c r="AD20" s="39">
        <f t="shared" si="5"/>
        <v>0</v>
      </c>
      <c r="AE20" s="12"/>
      <c r="AF20" s="38" t="str">
        <f>Oletusarvot!B13</f>
        <v>Lasipakkaukset</v>
      </c>
      <c r="AG20" s="211"/>
      <c r="AH20" s="38" t="b">
        <v>0</v>
      </c>
      <c r="AI20" s="39">
        <f t="shared" si="6"/>
        <v>0</v>
      </c>
    </row>
    <row r="21" spans="1:35" ht="15" x14ac:dyDescent="0.25">
      <c r="A21" s="12"/>
      <c r="B21" s="38" t="str">
        <f>Oletusarvot!B14</f>
        <v>Paperi</v>
      </c>
      <c r="C21" s="211"/>
      <c r="D21" s="38" t="b">
        <v>0</v>
      </c>
      <c r="E21" s="39">
        <f t="shared" si="0"/>
        <v>0</v>
      </c>
      <c r="F21" s="12"/>
      <c r="G21" s="38" t="str">
        <f>Oletusarvot!B14</f>
        <v>Paperi</v>
      </c>
      <c r="H21" s="211"/>
      <c r="I21" s="38" t="b">
        <v>0</v>
      </c>
      <c r="J21" s="39">
        <f t="shared" si="1"/>
        <v>0</v>
      </c>
      <c r="K21" s="12"/>
      <c r="L21" s="38" t="str">
        <f>Oletusarvot!B14</f>
        <v>Paperi</v>
      </c>
      <c r="M21" s="211"/>
      <c r="N21" s="38" t="b">
        <v>0</v>
      </c>
      <c r="O21" s="39">
        <f t="shared" si="2"/>
        <v>0</v>
      </c>
      <c r="P21" s="12"/>
      <c r="Q21" s="38" t="str">
        <f>Oletusarvot!B14</f>
        <v>Paperi</v>
      </c>
      <c r="R21" s="211"/>
      <c r="S21" s="38" t="b">
        <v>0</v>
      </c>
      <c r="T21" s="39">
        <f t="shared" si="3"/>
        <v>0</v>
      </c>
      <c r="U21" s="12"/>
      <c r="V21" s="38" t="str">
        <f>Oletusarvot!B14</f>
        <v>Paperi</v>
      </c>
      <c r="W21" s="211"/>
      <c r="X21" s="38" t="b">
        <v>0</v>
      </c>
      <c r="Y21" s="39">
        <f t="shared" si="4"/>
        <v>0</v>
      </c>
      <c r="Z21" s="12"/>
      <c r="AA21" s="38" t="str">
        <f>Oletusarvot!B14</f>
        <v>Paperi</v>
      </c>
      <c r="AB21" s="211"/>
      <c r="AC21" s="38" t="b">
        <v>0</v>
      </c>
      <c r="AD21" s="39">
        <f t="shared" si="5"/>
        <v>0</v>
      </c>
      <c r="AE21" s="12"/>
      <c r="AF21" s="38" t="str">
        <f>Oletusarvot!B14</f>
        <v>Paperi</v>
      </c>
      <c r="AG21" s="211"/>
      <c r="AH21" s="38" t="b">
        <v>0</v>
      </c>
      <c r="AI21" s="39">
        <f t="shared" si="6"/>
        <v>0</v>
      </c>
    </row>
    <row r="22" spans="1:35" ht="15" x14ac:dyDescent="0.25">
      <c r="A22" s="12"/>
      <c r="B22" s="37" t="str">
        <f>Oletusarvot!B15</f>
        <v>Muovipakkaukset</v>
      </c>
      <c r="C22" s="210"/>
      <c r="D22" s="38" t="b">
        <v>0</v>
      </c>
      <c r="E22" s="40">
        <f t="shared" si="0"/>
        <v>0</v>
      </c>
      <c r="F22" s="12"/>
      <c r="G22" s="37" t="str">
        <f>Oletusarvot!B15</f>
        <v>Muovipakkaukset</v>
      </c>
      <c r="H22" s="210"/>
      <c r="I22" s="38" t="b">
        <v>0</v>
      </c>
      <c r="J22" s="40">
        <f t="shared" si="1"/>
        <v>0</v>
      </c>
      <c r="K22" s="12"/>
      <c r="L22" s="37" t="str">
        <f>Oletusarvot!B15</f>
        <v>Muovipakkaukset</v>
      </c>
      <c r="M22" s="210"/>
      <c r="N22" s="38" t="b">
        <v>0</v>
      </c>
      <c r="O22" s="40">
        <f t="shared" si="2"/>
        <v>0</v>
      </c>
      <c r="P22" s="12"/>
      <c r="Q22" s="37" t="str">
        <f>Oletusarvot!B15</f>
        <v>Muovipakkaukset</v>
      </c>
      <c r="R22" s="210"/>
      <c r="S22" s="38" t="b">
        <v>0</v>
      </c>
      <c r="T22" s="40">
        <f t="shared" si="3"/>
        <v>0</v>
      </c>
      <c r="U22" s="12"/>
      <c r="V22" s="37" t="str">
        <f>Oletusarvot!B15</f>
        <v>Muovipakkaukset</v>
      </c>
      <c r="W22" s="210"/>
      <c r="X22" s="38" t="b">
        <v>0</v>
      </c>
      <c r="Y22" s="40">
        <f t="shared" si="4"/>
        <v>0</v>
      </c>
      <c r="Z22" s="12"/>
      <c r="AA22" s="37" t="str">
        <f>Oletusarvot!B15</f>
        <v>Muovipakkaukset</v>
      </c>
      <c r="AB22" s="210"/>
      <c r="AC22" s="38" t="b">
        <v>0</v>
      </c>
      <c r="AD22" s="40">
        <f t="shared" si="5"/>
        <v>0</v>
      </c>
      <c r="AE22" s="12"/>
      <c r="AF22" s="37" t="str">
        <f>Oletusarvot!B15</f>
        <v>Muovipakkaukset</v>
      </c>
      <c r="AG22" s="210"/>
      <c r="AH22" s="38" t="b">
        <v>0</v>
      </c>
      <c r="AI22" s="40">
        <f t="shared" si="6"/>
        <v>0</v>
      </c>
    </row>
    <row r="23" spans="1:35" ht="15" x14ac:dyDescent="0.25">
      <c r="A23" s="12"/>
      <c r="B23" s="38"/>
      <c r="C23" s="38"/>
      <c r="D23" s="38">
        <f t="array" ref="D23">SUM(--(D16:D22))</f>
        <v>0</v>
      </c>
      <c r="E23" s="39">
        <f>SUM(E16:E22)</f>
        <v>0</v>
      </c>
      <c r="F23" s="12"/>
      <c r="G23" s="38"/>
      <c r="H23" s="38"/>
      <c r="I23" s="38">
        <f t="array" ref="I23">SUM(--(I16:I22))</f>
        <v>0</v>
      </c>
      <c r="J23" s="39">
        <f>SUM(J16:J22)</f>
        <v>0</v>
      </c>
      <c r="K23" s="12"/>
      <c r="L23" s="38"/>
      <c r="M23" s="38"/>
      <c r="N23" s="38">
        <f t="array" ref="N23">SUM(--(N16:N22))</f>
        <v>0</v>
      </c>
      <c r="O23" s="39">
        <f>SUM(O16:O22)</f>
        <v>0</v>
      </c>
      <c r="P23" s="12"/>
      <c r="Q23" s="38"/>
      <c r="R23" s="38"/>
      <c r="S23" s="38">
        <f t="array" ref="S23">SUM(--(S16:S22))</f>
        <v>0</v>
      </c>
      <c r="T23" s="39">
        <f>SUM(T16:T22)</f>
        <v>0</v>
      </c>
      <c r="U23" s="12"/>
      <c r="V23" s="38"/>
      <c r="W23" s="38"/>
      <c r="X23" s="38">
        <f t="array" ref="X23">SUM(--(X16:X22))</f>
        <v>0</v>
      </c>
      <c r="Y23" s="39">
        <f>SUM(Y16:Y22)</f>
        <v>0</v>
      </c>
      <c r="Z23" s="12"/>
      <c r="AA23" s="38"/>
      <c r="AB23" s="38"/>
      <c r="AC23" s="38">
        <f t="array" ref="AC23">SUM(--(AC16:AC22))</f>
        <v>0</v>
      </c>
      <c r="AD23" s="39">
        <f>SUM(AD16:AD22)</f>
        <v>0</v>
      </c>
      <c r="AE23" s="12"/>
      <c r="AF23" s="38"/>
      <c r="AG23" s="38"/>
      <c r="AH23" s="38">
        <f t="array" ref="AH23">SUM(--(AH16:AH22))</f>
        <v>0</v>
      </c>
      <c r="AI23" s="39">
        <f>SUM(AI16:AI22)</f>
        <v>0</v>
      </c>
    </row>
    <row r="24" spans="1:35" ht="15" x14ac:dyDescent="0.25">
      <c r="B24" s="41"/>
      <c r="C24" s="41"/>
      <c r="D24" s="41"/>
      <c r="E24" s="41"/>
      <c r="G24" s="41"/>
      <c r="H24" s="41"/>
      <c r="I24" s="41"/>
      <c r="J24" s="41"/>
      <c r="L24" s="41"/>
      <c r="M24" s="41"/>
      <c r="N24" s="41"/>
      <c r="O24" s="41"/>
      <c r="Q24" s="41"/>
      <c r="R24" s="41"/>
      <c r="S24" s="41"/>
      <c r="T24" s="41"/>
      <c r="V24" s="41"/>
      <c r="W24" s="41"/>
      <c r="X24" s="41"/>
      <c r="Y24" s="41"/>
      <c r="AA24" s="41"/>
      <c r="AB24" s="41"/>
      <c r="AC24" s="41"/>
      <c r="AD24" s="41"/>
      <c r="AF24" s="41"/>
      <c r="AG24" s="41"/>
      <c r="AH24" s="41"/>
      <c r="AI24" s="41"/>
    </row>
    <row r="25" spans="1:35" ht="30.75" customHeight="1" x14ac:dyDescent="0.3">
      <c r="B25" s="42" t="s">
        <v>49</v>
      </c>
      <c r="C25" s="43" t="s">
        <v>51</v>
      </c>
      <c r="D25" s="41"/>
      <c r="E25" s="43" t="s">
        <v>50</v>
      </c>
      <c r="G25" s="42" t="str">
        <f>B25</f>
        <v>Asumismuodot</v>
      </c>
      <c r="H25" s="43" t="str">
        <f>C25</f>
        <v xml:space="preserve">Kiint. lkm </v>
      </c>
      <c r="I25" s="41"/>
      <c r="J25" s="43" t="str">
        <f>E25</f>
        <v>Asukkaita/kiinteistö</v>
      </c>
      <c r="L25" s="42" t="str">
        <f>B25</f>
        <v>Asumismuodot</v>
      </c>
      <c r="M25" s="43" t="str">
        <f>C25</f>
        <v xml:space="preserve">Kiint. lkm </v>
      </c>
      <c r="N25" s="41"/>
      <c r="O25" s="43" t="str">
        <f>E25</f>
        <v>Asukkaita/kiinteistö</v>
      </c>
      <c r="Q25" s="42" t="str">
        <f>B25</f>
        <v>Asumismuodot</v>
      </c>
      <c r="R25" s="43" t="str">
        <f>C25</f>
        <v xml:space="preserve">Kiint. lkm </v>
      </c>
      <c r="S25" s="41"/>
      <c r="T25" s="43" t="str">
        <f>E25</f>
        <v>Asukkaita/kiinteistö</v>
      </c>
      <c r="V25" s="42" t="str">
        <f>B25</f>
        <v>Asumismuodot</v>
      </c>
      <c r="W25" s="43" t="str">
        <f>C25</f>
        <v xml:space="preserve">Kiint. lkm </v>
      </c>
      <c r="X25" s="41"/>
      <c r="Y25" s="43" t="str">
        <f>E25</f>
        <v>Asukkaita/kiinteistö</v>
      </c>
      <c r="AA25" s="42" t="str">
        <f>B25</f>
        <v>Asumismuodot</v>
      </c>
      <c r="AB25" s="43" t="str">
        <f>C25</f>
        <v xml:space="preserve">Kiint. lkm </v>
      </c>
      <c r="AC25" s="41"/>
      <c r="AD25" s="43" t="str">
        <f>E25</f>
        <v>Asukkaita/kiinteistö</v>
      </c>
      <c r="AF25" s="42" t="str">
        <f>B25</f>
        <v>Asumismuodot</v>
      </c>
      <c r="AG25" s="43" t="str">
        <f>C25</f>
        <v xml:space="preserve">Kiint. lkm </v>
      </c>
      <c r="AH25" s="41"/>
      <c r="AI25" s="43" t="str">
        <f>E25</f>
        <v>Asukkaita/kiinteistö</v>
      </c>
    </row>
    <row r="26" spans="1:35" ht="15" x14ac:dyDescent="0.25">
      <c r="B26" s="41" t="s">
        <v>13</v>
      </c>
      <c r="C26" s="212"/>
      <c r="D26" s="212"/>
      <c r="E26" s="212"/>
      <c r="G26" s="41" t="str">
        <f>B26</f>
        <v>Kerrostalo</v>
      </c>
      <c r="H26" s="212"/>
      <c r="I26" s="212"/>
      <c r="J26" s="212"/>
      <c r="L26" s="41" t="str">
        <f>B26</f>
        <v>Kerrostalo</v>
      </c>
      <c r="M26" s="212"/>
      <c r="N26" s="212"/>
      <c r="O26" s="212"/>
      <c r="Q26" s="41" t="str">
        <f>B26</f>
        <v>Kerrostalo</v>
      </c>
      <c r="R26" s="212"/>
      <c r="S26" s="212"/>
      <c r="T26" s="212"/>
      <c r="V26" s="41" t="str">
        <f>B26</f>
        <v>Kerrostalo</v>
      </c>
      <c r="W26" s="212"/>
      <c r="X26" s="212"/>
      <c r="Y26" s="212"/>
      <c r="AA26" s="41" t="str">
        <f>B26</f>
        <v>Kerrostalo</v>
      </c>
      <c r="AB26" s="212"/>
      <c r="AC26" s="212"/>
      <c r="AD26" s="212"/>
      <c r="AF26" s="41" t="str">
        <f>B26</f>
        <v>Kerrostalo</v>
      </c>
      <c r="AG26" s="212"/>
      <c r="AH26" s="212"/>
      <c r="AI26" s="212"/>
    </row>
    <row r="27" spans="1:35" ht="15" x14ac:dyDescent="0.25">
      <c r="B27" s="41" t="s">
        <v>14</v>
      </c>
      <c r="C27" s="212"/>
      <c r="D27" s="212"/>
      <c r="E27" s="212"/>
      <c r="G27" s="41" t="str">
        <f>B27</f>
        <v>Rivitalo</v>
      </c>
      <c r="H27" s="212"/>
      <c r="I27" s="212"/>
      <c r="J27" s="212"/>
      <c r="L27" s="41" t="str">
        <f>B27</f>
        <v>Rivitalo</v>
      </c>
      <c r="M27" s="212"/>
      <c r="N27" s="212"/>
      <c r="O27" s="212"/>
      <c r="Q27" s="41" t="str">
        <f>B27</f>
        <v>Rivitalo</v>
      </c>
      <c r="R27" s="212"/>
      <c r="S27" s="212"/>
      <c r="T27" s="212"/>
      <c r="V27" s="41" t="str">
        <f>B27</f>
        <v>Rivitalo</v>
      </c>
      <c r="W27" s="212"/>
      <c r="X27" s="212"/>
      <c r="Y27" s="212"/>
      <c r="AA27" s="41" t="str">
        <f>B27</f>
        <v>Rivitalo</v>
      </c>
      <c r="AB27" s="212"/>
      <c r="AC27" s="212"/>
      <c r="AD27" s="212"/>
      <c r="AF27" s="41" t="str">
        <f>B27</f>
        <v>Rivitalo</v>
      </c>
      <c r="AG27" s="212"/>
      <c r="AH27" s="212"/>
      <c r="AI27" s="212"/>
    </row>
    <row r="28" spans="1:35" ht="15" x14ac:dyDescent="0.25">
      <c r="B28" s="41" t="s">
        <v>15</v>
      </c>
      <c r="C28" s="212"/>
      <c r="D28" s="212"/>
      <c r="E28" s="212"/>
      <c r="G28" s="41" t="str">
        <f>B28</f>
        <v>Omakotitalo</v>
      </c>
      <c r="H28" s="212"/>
      <c r="I28" s="212"/>
      <c r="J28" s="212"/>
      <c r="L28" s="41" t="str">
        <f>B28</f>
        <v>Omakotitalo</v>
      </c>
      <c r="M28" s="212"/>
      <c r="N28" s="212"/>
      <c r="O28" s="212"/>
      <c r="Q28" s="41" t="str">
        <f>B28</f>
        <v>Omakotitalo</v>
      </c>
      <c r="R28" s="212"/>
      <c r="S28" s="212"/>
      <c r="T28" s="212"/>
      <c r="V28" s="41" t="str">
        <f>B28</f>
        <v>Omakotitalo</v>
      </c>
      <c r="W28" s="212"/>
      <c r="X28" s="212"/>
      <c r="Y28" s="212"/>
      <c r="AA28" s="41" t="str">
        <f>B28</f>
        <v>Omakotitalo</v>
      </c>
      <c r="AB28" s="212"/>
      <c r="AC28" s="212"/>
      <c r="AD28" s="212"/>
      <c r="AF28" s="41" t="str">
        <f>B28</f>
        <v>Omakotitalo</v>
      </c>
      <c r="AG28" s="212"/>
      <c r="AH28" s="212"/>
      <c r="AI28" s="212"/>
    </row>
    <row r="29" spans="1:35" ht="15" x14ac:dyDescent="0.25">
      <c r="B29" s="41" t="s">
        <v>36</v>
      </c>
      <c r="C29" s="212"/>
      <c r="D29" s="212"/>
      <c r="E29" s="212"/>
      <c r="G29" s="41" t="str">
        <f>B29</f>
        <v>Omakotitalo (K)</v>
      </c>
      <c r="H29" s="212"/>
      <c r="I29" s="212"/>
      <c r="J29" s="212"/>
      <c r="L29" s="41" t="str">
        <f>B29</f>
        <v>Omakotitalo (K)</v>
      </c>
      <c r="M29" s="212"/>
      <c r="N29" s="212"/>
      <c r="O29" s="212"/>
      <c r="Q29" s="41" t="str">
        <f>B29</f>
        <v>Omakotitalo (K)</v>
      </c>
      <c r="R29" s="212"/>
      <c r="S29" s="212"/>
      <c r="T29" s="212"/>
      <c r="V29" s="41" t="str">
        <f>B29</f>
        <v>Omakotitalo (K)</v>
      </c>
      <c r="W29" s="212"/>
      <c r="X29" s="212"/>
      <c r="Y29" s="212"/>
      <c r="AA29" s="41" t="str">
        <f>B29</f>
        <v>Omakotitalo (K)</v>
      </c>
      <c r="AB29" s="212"/>
      <c r="AC29" s="212"/>
      <c r="AD29" s="212"/>
      <c r="AF29" s="41" t="str">
        <f>B29</f>
        <v>Omakotitalo (K)</v>
      </c>
      <c r="AG29" s="212"/>
      <c r="AH29" s="212"/>
      <c r="AI29" s="212"/>
    </row>
    <row r="30" spans="1:35" ht="15" x14ac:dyDescent="0.25">
      <c r="B30" s="41"/>
      <c r="C30" s="41"/>
      <c r="D30" s="41"/>
      <c r="E30" s="41"/>
      <c r="G30" s="41"/>
      <c r="H30" s="41"/>
      <c r="I30" s="41"/>
      <c r="J30" s="41"/>
      <c r="L30" s="41"/>
      <c r="M30" s="41"/>
      <c r="N30" s="41"/>
      <c r="O30" s="41"/>
      <c r="Q30" s="41"/>
      <c r="R30" s="41"/>
      <c r="S30" s="41"/>
      <c r="T30" s="41"/>
      <c r="V30" s="41"/>
      <c r="W30" s="41"/>
      <c r="X30" s="41"/>
      <c r="Y30" s="41"/>
      <c r="AA30" s="41"/>
      <c r="AB30" s="41"/>
      <c r="AC30" s="41"/>
      <c r="AD30" s="41"/>
      <c r="AF30" s="41"/>
      <c r="AG30" s="41"/>
      <c r="AH30" s="41"/>
      <c r="AI30" s="41"/>
    </row>
    <row r="31" spans="1:35" x14ac:dyDescent="0.3">
      <c r="B31" s="44" t="s">
        <v>136</v>
      </c>
      <c r="C31" s="45">
        <f>($C$26*$E$26*$C$37+$C$27*$E$27*$C$38+$C$28*$E$28*$C$39+$C$29*$E$29*$C$40)/1000</f>
        <v>0</v>
      </c>
      <c r="D31" s="46"/>
      <c r="E31" s="47"/>
      <c r="G31" s="44" t="str">
        <f>B31</f>
        <v>Kokonaiskertymä (t)</v>
      </c>
      <c r="H31" s="45">
        <f>($H$26*$J$26*$C$37+$H$27*$J$27*$C$38+$H$28*$J$28*$C$39+$H$29*$J$29*$C$40)/1000</f>
        <v>0</v>
      </c>
      <c r="I31" s="46"/>
      <c r="J31" s="47"/>
      <c r="L31" s="44" t="str">
        <f>B31</f>
        <v>Kokonaiskertymä (t)</v>
      </c>
      <c r="M31" s="45">
        <f>($M$26*$O$26*$C$37+$M$27*$O$27*$C$38+$M$28*$O$28*$C$39+$M$29*$O$29*$C$40)/1000</f>
        <v>0</v>
      </c>
      <c r="N31" s="46"/>
      <c r="O31" s="47"/>
      <c r="Q31" s="44" t="str">
        <f>B31</f>
        <v>Kokonaiskertymä (t)</v>
      </c>
      <c r="R31" s="45">
        <f>($R$26*$T$26*$C$37+$R$27*$T$27*$C$38+$R$28*$T$28*$C$39+$R$29*$T$29*$C$40)/1000</f>
        <v>0</v>
      </c>
      <c r="S31" s="46"/>
      <c r="T31" s="47"/>
      <c r="V31" s="44" t="str">
        <f>B31</f>
        <v>Kokonaiskertymä (t)</v>
      </c>
      <c r="W31" s="45">
        <f>($W$26*$Y$26*$C$37+$W$27*$Y$27*$C$38+$W$28*$Y$28*$C$39+$W$29*$Y$29*$C$40)/1000</f>
        <v>0</v>
      </c>
      <c r="X31" s="46"/>
      <c r="Y31" s="46"/>
      <c r="AA31" s="44" t="str">
        <f>B31</f>
        <v>Kokonaiskertymä (t)</v>
      </c>
      <c r="AB31" s="45">
        <f>($AB$26*$AD$26*$C$37+$AB$27*$AD$27*$C$38+$AB$28*$AD$28*$C$39+$AB$29*$AD$29*$C$40)/1000</f>
        <v>0</v>
      </c>
      <c r="AC31" s="46"/>
      <c r="AD31" s="47"/>
      <c r="AF31" s="44" t="str">
        <f>B31</f>
        <v>Kokonaiskertymä (t)</v>
      </c>
      <c r="AG31" s="45">
        <f>($AG$26*$AI$26*$C$37+$AG$27*$AI$27*$C$38+$AG$28*$AI$28*$C$39+$AG$29*$AI$29*$C$40)/1000</f>
        <v>0</v>
      </c>
      <c r="AH31" s="46"/>
      <c r="AI31" s="47"/>
    </row>
    <row r="32" spans="1:35" ht="15" x14ac:dyDescent="0.25">
      <c r="B32" s="37" t="s">
        <v>138</v>
      </c>
      <c r="C32" s="37">
        <f>$C$26*$E$26+$C$27*$E$27+$C$28*$E$28+$C$29*$E$29</f>
        <v>0</v>
      </c>
      <c r="D32" s="37"/>
      <c r="E32" s="48"/>
      <c r="G32" s="37" t="str">
        <f>B32</f>
        <v>Asukkaita yht.</v>
      </c>
      <c r="H32" s="192">
        <f>$H$26*$J$26+$H$27*$J$27+$H$28*$J$28+$H$29*$J$29</f>
        <v>0</v>
      </c>
      <c r="I32" s="37"/>
      <c r="J32" s="48"/>
      <c r="L32" s="37" t="str">
        <f>B32</f>
        <v>Asukkaita yht.</v>
      </c>
      <c r="M32" s="37">
        <f>$M$26*$O$26+$M$27*$O$27+$M$28*$O$28+$M$29*$O$29</f>
        <v>0</v>
      </c>
      <c r="N32" s="37"/>
      <c r="O32" s="48"/>
      <c r="Q32" s="37" t="str">
        <f>B32</f>
        <v>Asukkaita yht.</v>
      </c>
      <c r="R32" s="37">
        <f>$R$26*$T$26+$R$27*$T$27+$R$28*$T$28+$R$29*$T$29</f>
        <v>0</v>
      </c>
      <c r="S32" s="37"/>
      <c r="T32" s="48"/>
      <c r="V32" s="37" t="str">
        <f>B32</f>
        <v>Asukkaita yht.</v>
      </c>
      <c r="W32" s="37">
        <f>$W$26*$Y$26+$W$27*$Y$27+$W$28*$Y$28+$W$29*$Y$29</f>
        <v>0</v>
      </c>
      <c r="X32" s="37"/>
      <c r="Y32" s="37"/>
      <c r="AA32" s="37" t="str">
        <f>B32</f>
        <v>Asukkaita yht.</v>
      </c>
      <c r="AB32" s="37">
        <f>$AB$26*$AD$26+$AB$27*$AD$27+$AB$28*$AD$28+$AB$29*$AD$29</f>
        <v>0</v>
      </c>
      <c r="AC32" s="37"/>
      <c r="AD32" s="48"/>
      <c r="AF32" s="37" t="str">
        <f>B32</f>
        <v>Asukkaita yht.</v>
      </c>
      <c r="AG32" s="37">
        <f>$AG$26*$AI$26+$AG$27*$AI$27+$AG$28*$AI$28+$AG$29*$AI$29</f>
        <v>0</v>
      </c>
      <c r="AH32" s="37"/>
      <c r="AI32" s="48"/>
    </row>
    <row r="33" spans="1:35" x14ac:dyDescent="0.3">
      <c r="B33" s="41"/>
      <c r="C33" s="41"/>
      <c r="D33" s="41"/>
      <c r="E33" s="41"/>
      <c r="G33" s="41"/>
      <c r="H33" s="41"/>
      <c r="I33" s="41"/>
      <c r="J33" s="41"/>
      <c r="L33" s="41"/>
      <c r="M33" s="41"/>
      <c r="N33" s="41"/>
      <c r="O33" s="41"/>
      <c r="Q33" s="41"/>
      <c r="R33" s="41"/>
      <c r="S33" s="41"/>
      <c r="T33" s="41"/>
      <c r="V33" s="41"/>
      <c r="W33" s="41"/>
      <c r="X33" s="41"/>
      <c r="Y33" s="41"/>
      <c r="AA33" s="41"/>
      <c r="AB33" s="41"/>
      <c r="AC33" s="41"/>
      <c r="AD33" s="41"/>
      <c r="AF33" s="41"/>
      <c r="AG33" s="41"/>
      <c r="AH33" s="41"/>
      <c r="AI33" s="41"/>
    </row>
    <row r="34" spans="1:35" ht="15.75" customHeight="1" x14ac:dyDescent="0.3"/>
    <row r="35" spans="1:35" ht="15.75" customHeight="1" x14ac:dyDescent="0.3">
      <c r="B35" s="1" t="s">
        <v>115</v>
      </c>
    </row>
    <row r="36" spans="1:35" ht="43.5" customHeight="1" x14ac:dyDescent="0.3">
      <c r="B36" s="30" t="str">
        <f>Oletusarvot!D8</f>
        <v>Asumismuodot</v>
      </c>
      <c r="C36" s="232" t="str">
        <f>Oletusarvot!E8</f>
        <v>Oletuskertymä vuodessa (kg/hlö/vuosi)</v>
      </c>
      <c r="D36" s="232"/>
      <c r="E36" s="232"/>
      <c r="G36" s="234" t="s">
        <v>57</v>
      </c>
      <c r="H36" s="234"/>
      <c r="I36" s="234"/>
      <c r="J36" s="234"/>
      <c r="K36" s="234"/>
      <c r="L36" s="234"/>
      <c r="M36" s="234"/>
      <c r="N36" s="234"/>
      <c r="O36" s="234"/>
      <c r="P36" s="234"/>
      <c r="Q36" s="234"/>
    </row>
    <row r="37" spans="1:35" ht="15" customHeight="1" x14ac:dyDescent="0.3">
      <c r="B37" s="71" t="str">
        <f>Oletusarvot!D9</f>
        <v>Kerrostalo</v>
      </c>
      <c r="C37" s="71">
        <f>Oletusarvot!E9</f>
        <v>246</v>
      </c>
      <c r="D37" s="32"/>
      <c r="E37" s="32"/>
      <c r="G37" s="33" t="s">
        <v>122</v>
      </c>
      <c r="H37" s="34" t="s">
        <v>170</v>
      </c>
      <c r="I37" s="22"/>
      <c r="J37" s="22"/>
      <c r="K37" s="22"/>
      <c r="L37" s="73" t="s">
        <v>165</v>
      </c>
      <c r="M37" s="237" t="s">
        <v>136</v>
      </c>
      <c r="N37" s="237"/>
      <c r="O37" s="237"/>
      <c r="P37" s="237"/>
      <c r="Q37" s="74" t="s">
        <v>137</v>
      </c>
    </row>
    <row r="38" spans="1:35" x14ac:dyDescent="0.3">
      <c r="A38" s="12"/>
      <c r="B38" s="71" t="str">
        <f>Oletusarvot!D10</f>
        <v>Rivitalo</v>
      </c>
      <c r="C38" s="71">
        <f>Oletusarvot!E10</f>
        <v>242</v>
      </c>
      <c r="D38" s="32"/>
      <c r="E38" s="32"/>
      <c r="F38" s="12"/>
      <c r="G38" s="203" t="str">
        <f>Oletusarvot!B9</f>
        <v>Sekajäte</v>
      </c>
      <c r="H38" s="200">
        <f>($E$16+$J$16+$O$16+$T$16+$Y$16+$AD$16+$AI$16)</f>
        <v>0</v>
      </c>
      <c r="I38" s="22"/>
      <c r="J38" s="22"/>
      <c r="K38" s="22"/>
      <c r="L38" s="180">
        <v>1</v>
      </c>
      <c r="M38" s="235">
        <f>IF($D$23=$L38, $C$31, 0)+IF($I$23=$L38,$H$31,0)+IF($N$23=$L38,$M$31,0)+IF($S$23=$L38,$R$31,0)+IF($X$23=$L38,$W$31,0)+IF($AC$23=$L38,$AB$31,0)+IF($AH$23=$L38,$AG$31,0)</f>
        <v>0</v>
      </c>
      <c r="N38" s="236"/>
      <c r="O38" s="236"/>
      <c r="P38" s="75"/>
      <c r="Q38" s="76">
        <f t="shared" ref="Q38:Q44" si="7">IF($D$23=$L38, $E$16, 0)+IF($I$23=$L38,$J$16,0)+IF($N$23=$L38,$O$16,0)+IF($S$23=$L38,$T$16,0)+IF($X$23=$L38,$Y$16,0)+IF($AC$23=$L38,$AD$16,0)+IF($AH$23=$L38,$AI$16,0)</f>
        <v>0</v>
      </c>
      <c r="R38" s="12"/>
      <c r="S38" s="12"/>
      <c r="T38" s="12"/>
      <c r="AH38" s="12"/>
      <c r="AI38" s="12"/>
    </row>
    <row r="39" spans="1:35" x14ac:dyDescent="0.3">
      <c r="A39" s="12"/>
      <c r="B39" s="71" t="str">
        <f>Oletusarvot!D11</f>
        <v>Omakotitalo</v>
      </c>
      <c r="C39" s="71">
        <f>Oletusarvot!E11</f>
        <v>195</v>
      </c>
      <c r="D39" s="32"/>
      <c r="E39" s="32"/>
      <c r="F39" s="12"/>
      <c r="G39" s="204" t="str">
        <f>Oletusarvot!B10</f>
        <v>Biojäte</v>
      </c>
      <c r="H39" s="201">
        <f>$E$17+$J$17+$O$17+$T$17+$Y$17+$AD$17+$AI$17</f>
        <v>0</v>
      </c>
      <c r="I39" s="22"/>
      <c r="J39" s="22"/>
      <c r="K39" s="22"/>
      <c r="L39" s="181">
        <v>2</v>
      </c>
      <c r="M39" s="228">
        <f t="shared" ref="M39:M44" si="8">IF($D$23=$L39, $C$31, 0)+IF($I$23=$L39,$H$31,0)+IF($N$23=$L39,$M$31,0)+IF($S$23=$L39,$R$31,0)+IF($X$23=$L39,$W$31,0)+IF($AC$23=$L39,$AB$31,0)+IF($AH$23=$L39,$AG$31,0)</f>
        <v>0</v>
      </c>
      <c r="N39" s="229"/>
      <c r="O39" s="229"/>
      <c r="P39" s="77"/>
      <c r="Q39" s="78">
        <f t="shared" si="7"/>
        <v>0</v>
      </c>
      <c r="R39" s="12"/>
      <c r="S39" s="12"/>
      <c r="T39" s="12"/>
      <c r="Y39" s="12"/>
      <c r="Z39" s="12"/>
      <c r="AA39" s="166"/>
      <c r="AH39" s="12"/>
      <c r="AI39" s="12"/>
    </row>
    <row r="40" spans="1:35" x14ac:dyDescent="0.3">
      <c r="A40" s="12"/>
      <c r="B40" s="62" t="str">
        <f>Oletusarvot!D12</f>
        <v>Omakotitalo (K)</v>
      </c>
      <c r="C40" s="62">
        <f>Oletusarvot!E12</f>
        <v>140</v>
      </c>
      <c r="D40" s="31"/>
      <c r="E40" s="31"/>
      <c r="F40" s="12"/>
      <c r="G40" s="204" t="str">
        <f>Oletusarvot!B11</f>
        <v>Kartonkipakkaukset</v>
      </c>
      <c r="H40" s="201">
        <f>$E$18+$J$18+$O$18+$T$18+$Y$18+$AD$18+$AI$18</f>
        <v>0</v>
      </c>
      <c r="I40" s="22"/>
      <c r="J40" s="22"/>
      <c r="K40" s="22"/>
      <c r="L40" s="181">
        <v>3</v>
      </c>
      <c r="M40" s="228">
        <f t="shared" si="8"/>
        <v>0</v>
      </c>
      <c r="N40" s="229"/>
      <c r="O40" s="229"/>
      <c r="P40" s="77"/>
      <c r="Q40" s="78">
        <f t="shared" si="7"/>
        <v>0</v>
      </c>
      <c r="R40" s="12"/>
      <c r="S40" s="12"/>
      <c r="V40" s="95"/>
      <c r="AA40" s="167"/>
      <c r="AH40" s="12"/>
      <c r="AI40" s="12"/>
    </row>
    <row r="41" spans="1:35" ht="15.75" customHeight="1" x14ac:dyDescent="0.3">
      <c r="A41" s="12"/>
      <c r="B41" s="118"/>
      <c r="C41" s="233" t="s">
        <v>186</v>
      </c>
      <c r="D41" s="233"/>
      <c r="E41" s="233"/>
      <c r="F41" s="12"/>
      <c r="G41" s="204" t="str">
        <f>Oletusarvot!B12</f>
        <v>Metalli</v>
      </c>
      <c r="H41" s="201">
        <f>$E$19+$J$19+$O$19+$T$19+$Y$19+$AD$19+$AI$19</f>
        <v>0</v>
      </c>
      <c r="I41" s="22"/>
      <c r="J41" s="22"/>
      <c r="K41" s="22"/>
      <c r="L41" s="181">
        <v>4</v>
      </c>
      <c r="M41" s="228">
        <f t="shared" si="8"/>
        <v>0</v>
      </c>
      <c r="N41" s="229"/>
      <c r="O41" s="229"/>
      <c r="P41" s="77"/>
      <c r="Q41" s="78">
        <f t="shared" si="7"/>
        <v>0</v>
      </c>
      <c r="R41" s="12"/>
      <c r="S41" s="12"/>
      <c r="AA41" s="167"/>
      <c r="AH41" s="12"/>
      <c r="AI41" s="12"/>
    </row>
    <row r="42" spans="1:35" x14ac:dyDescent="0.3">
      <c r="B42" s="30" t="str">
        <f>Oletusarvot!D15</f>
        <v>Kierrätettävä jätelaji</v>
      </c>
      <c r="C42" s="232"/>
      <c r="D42" s="232"/>
      <c r="E42" s="232"/>
      <c r="G42" s="204" t="str">
        <f>Oletusarvot!B13</f>
        <v>Lasipakkaukset</v>
      </c>
      <c r="H42" s="201">
        <f>$E$20+$J$20+$O$20+$T$20+$Y$20+$AD$20+$AI$20</f>
        <v>0</v>
      </c>
      <c r="I42" s="22"/>
      <c r="J42" s="22"/>
      <c r="K42" s="22"/>
      <c r="L42" s="181">
        <v>5</v>
      </c>
      <c r="M42" s="228">
        <f t="shared" si="8"/>
        <v>0</v>
      </c>
      <c r="N42" s="229"/>
      <c r="O42" s="229"/>
      <c r="P42" s="77"/>
      <c r="Q42" s="78">
        <f t="shared" si="7"/>
        <v>0</v>
      </c>
      <c r="R42" s="12"/>
      <c r="S42" s="12"/>
      <c r="AA42" s="167"/>
    </row>
    <row r="43" spans="1:35" x14ac:dyDescent="0.3">
      <c r="B43" s="71" t="str">
        <f>Oletusarvot!D16</f>
        <v>Biojäte</v>
      </c>
      <c r="C43" s="71">
        <f>Oletusarvot!E16</f>
        <v>40</v>
      </c>
      <c r="D43" s="32"/>
      <c r="E43" s="22"/>
      <c r="G43" s="204" t="str">
        <f>Oletusarvot!B14</f>
        <v>Paperi</v>
      </c>
      <c r="H43" s="201">
        <f>$E$21+$J$21+$O$21+$T$21+$Y$21+$AD$21+$AI$21</f>
        <v>0</v>
      </c>
      <c r="I43" s="22"/>
      <c r="J43" s="22"/>
      <c r="K43" s="22"/>
      <c r="L43" s="181">
        <v>6</v>
      </c>
      <c r="M43" s="228">
        <f t="shared" si="8"/>
        <v>0</v>
      </c>
      <c r="N43" s="229"/>
      <c r="O43" s="229"/>
      <c r="P43" s="77"/>
      <c r="Q43" s="78">
        <f t="shared" si="7"/>
        <v>0</v>
      </c>
      <c r="AA43" s="167"/>
    </row>
    <row r="44" spans="1:35" x14ac:dyDescent="0.3">
      <c r="B44" s="71" t="str">
        <f>Oletusarvot!D17</f>
        <v>Kartonkipakkaukset</v>
      </c>
      <c r="C44" s="71">
        <f>Oletusarvot!E17</f>
        <v>12</v>
      </c>
      <c r="D44" s="32"/>
      <c r="E44" s="22"/>
      <c r="G44" s="205" t="str">
        <f>Oletusarvot!B15</f>
        <v>Muovipakkaukset</v>
      </c>
      <c r="H44" s="202">
        <f>$E$22+$J$22+$O$22+$T$22+$Y$22+$AD$22+$AI$22</f>
        <v>0</v>
      </c>
      <c r="I44" s="22"/>
      <c r="J44" s="22"/>
      <c r="K44" s="22"/>
      <c r="L44" s="182">
        <v>7</v>
      </c>
      <c r="M44" s="230">
        <f t="shared" si="8"/>
        <v>0</v>
      </c>
      <c r="N44" s="231"/>
      <c r="O44" s="231"/>
      <c r="P44" s="79"/>
      <c r="Q44" s="80">
        <f t="shared" si="7"/>
        <v>0</v>
      </c>
      <c r="Y44" s="12"/>
      <c r="Z44" s="12"/>
      <c r="AA44" s="166"/>
    </row>
    <row r="45" spans="1:35" x14ac:dyDescent="0.3">
      <c r="B45" s="71" t="str">
        <f>Oletusarvot!D18</f>
        <v>Metalli</v>
      </c>
      <c r="C45" s="71">
        <f>Oletusarvot!E18</f>
        <v>2</v>
      </c>
      <c r="D45" s="32"/>
      <c r="E45" s="22"/>
      <c r="G45" s="22" t="s">
        <v>139</v>
      </c>
      <c r="H45" s="81">
        <f>SUM(H38:H44)</f>
        <v>0</v>
      </c>
      <c r="I45" s="22"/>
      <c r="J45" s="22"/>
      <c r="K45" s="22"/>
      <c r="L45" s="22" t="s">
        <v>139</v>
      </c>
      <c r="M45" s="229">
        <f>SUM(M38:O44)</f>
        <v>0</v>
      </c>
      <c r="N45" s="229"/>
      <c r="O45" s="229"/>
      <c r="P45" s="22"/>
      <c r="Q45" s="82">
        <f>SUM(Q38:Q44)</f>
        <v>0</v>
      </c>
      <c r="R45" s="12"/>
      <c r="S45" s="12"/>
      <c r="AA45" s="167"/>
    </row>
    <row r="46" spans="1:35" x14ac:dyDescent="0.3">
      <c r="B46" s="71" t="str">
        <f>Oletusarvot!D19</f>
        <v>Lasipakkaukset</v>
      </c>
      <c r="C46" s="71">
        <f>Oletusarvot!E19</f>
        <v>5</v>
      </c>
      <c r="D46" s="22"/>
      <c r="E46" s="22"/>
      <c r="Q46" s="12"/>
      <c r="R46" s="12"/>
      <c r="S46" s="12"/>
    </row>
    <row r="47" spans="1:35" x14ac:dyDescent="0.3">
      <c r="B47" s="71" t="str">
        <f>Oletusarvot!D20</f>
        <v>Paperi</v>
      </c>
      <c r="C47" s="71">
        <f>Oletusarvot!E20</f>
        <v>52</v>
      </c>
      <c r="D47" s="32"/>
      <c r="E47" s="22"/>
      <c r="H47" s="12"/>
      <c r="I47" s="12"/>
      <c r="J47" s="12"/>
      <c r="Q47" s="12"/>
      <c r="R47" s="12"/>
      <c r="S47" s="12"/>
    </row>
    <row r="48" spans="1:35" x14ac:dyDescent="0.3">
      <c r="B48" s="71" t="str">
        <f>Oletusarvot!D21</f>
        <v>Muovipakkaukset</v>
      </c>
      <c r="C48" s="71">
        <f>Oletusarvot!E21</f>
        <v>6</v>
      </c>
      <c r="D48" s="22"/>
      <c r="E48" s="22"/>
      <c r="AC48" s="227"/>
      <c r="AD48" s="227"/>
      <c r="AE48" s="227"/>
    </row>
    <row r="49" spans="3:35" x14ac:dyDescent="0.3">
      <c r="D49" s="32"/>
      <c r="Y49" s="227"/>
      <c r="Z49" s="227"/>
      <c r="AA49" s="227"/>
      <c r="AD49" s="227"/>
      <c r="AE49" s="227"/>
      <c r="AF49" s="227"/>
    </row>
    <row r="50" spans="3:35" x14ac:dyDescent="0.3">
      <c r="D50" s="12"/>
    </row>
    <row r="51" spans="3:35" x14ac:dyDescent="0.3">
      <c r="L51" s="227"/>
      <c r="M51" s="227"/>
      <c r="N51" s="227"/>
    </row>
    <row r="52" spans="3:35" x14ac:dyDescent="0.3">
      <c r="C52" s="227"/>
      <c r="D52" s="227"/>
      <c r="E52" s="227"/>
      <c r="H52" s="227"/>
      <c r="I52" s="227"/>
      <c r="J52" s="227"/>
      <c r="M52" s="227"/>
      <c r="N52" s="227"/>
      <c r="O52" s="227"/>
      <c r="R52" s="227"/>
      <c r="S52" s="227"/>
      <c r="T52" s="227"/>
      <c r="AB52" s="227"/>
      <c r="AC52" s="227"/>
      <c r="AD52" s="227"/>
      <c r="AG52" s="227"/>
      <c r="AH52" s="227"/>
      <c r="AI52" s="227"/>
    </row>
    <row r="56" spans="3:35" x14ac:dyDescent="0.3">
      <c r="J56" s="12"/>
      <c r="K56" s="12"/>
      <c r="L56" s="12"/>
      <c r="S56" s="12"/>
    </row>
    <row r="59" spans="3:35" ht="30" customHeight="1" x14ac:dyDescent="0.3"/>
    <row r="60" spans="3:35" x14ac:dyDescent="0.3">
      <c r="N60" s="227"/>
      <c r="O60" s="227"/>
      <c r="P60" s="227"/>
    </row>
    <row r="61" spans="3:35" x14ac:dyDescent="0.3">
      <c r="J61" s="227"/>
      <c r="K61" s="227"/>
      <c r="L61" s="227"/>
      <c r="O61" s="227"/>
      <c r="P61" s="227"/>
      <c r="Q61" s="227"/>
    </row>
    <row r="64" spans="3:35" x14ac:dyDescent="0.3">
      <c r="L64" s="12"/>
      <c r="M64" s="12"/>
      <c r="N64" s="12"/>
    </row>
    <row r="68" spans="12:19" x14ac:dyDescent="0.3">
      <c r="P68" s="227"/>
      <c r="Q68" s="227"/>
      <c r="R68" s="227"/>
    </row>
    <row r="69" spans="12:19" x14ac:dyDescent="0.3">
      <c r="L69" s="227"/>
      <c r="M69" s="227"/>
      <c r="N69" s="227"/>
      <c r="Q69" s="227"/>
      <c r="R69" s="227"/>
      <c r="S69" s="227"/>
    </row>
  </sheetData>
  <sheetProtection formatCells="0"/>
  <mergeCells count="28">
    <mergeCell ref="C36:E36"/>
    <mergeCell ref="C41:E42"/>
    <mergeCell ref="AC48:AE48"/>
    <mergeCell ref="Y49:AA49"/>
    <mergeCell ref="AD49:AF49"/>
    <mergeCell ref="G36:Q36"/>
    <mergeCell ref="M38:O38"/>
    <mergeCell ref="M39:O39"/>
    <mergeCell ref="M40:O40"/>
    <mergeCell ref="M41:O41"/>
    <mergeCell ref="M37:P37"/>
    <mergeCell ref="L69:N69"/>
    <mergeCell ref="Q69:S69"/>
    <mergeCell ref="AG52:AI52"/>
    <mergeCell ref="R52:T52"/>
    <mergeCell ref="AB52:AD52"/>
    <mergeCell ref="O61:Q61"/>
    <mergeCell ref="J61:L61"/>
    <mergeCell ref="N60:P60"/>
    <mergeCell ref="P68:R68"/>
    <mergeCell ref="C52:E52"/>
    <mergeCell ref="H52:J52"/>
    <mergeCell ref="M52:O52"/>
    <mergeCell ref="M42:O42"/>
    <mergeCell ref="M43:O43"/>
    <mergeCell ref="M44:O44"/>
    <mergeCell ref="M45:O45"/>
    <mergeCell ref="L51:N51"/>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175260</xdr:colOff>
                    <xdr:row>15</xdr:row>
                    <xdr:rowOff>0</xdr:rowOff>
                  </from>
                  <to>
                    <xdr:col>4</xdr:col>
                    <xdr:colOff>38100</xdr:colOff>
                    <xdr:row>16</xdr:row>
                    <xdr:rowOff>7620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175260</xdr:colOff>
                    <xdr:row>15</xdr:row>
                    <xdr:rowOff>182880</xdr:rowOff>
                  </from>
                  <to>
                    <xdr:col>4</xdr:col>
                    <xdr:colOff>38100</xdr:colOff>
                    <xdr:row>17</xdr:row>
                    <xdr:rowOff>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175260</xdr:colOff>
                    <xdr:row>16</xdr:row>
                    <xdr:rowOff>182880</xdr:rowOff>
                  </from>
                  <to>
                    <xdr:col>4</xdr:col>
                    <xdr:colOff>38100</xdr:colOff>
                    <xdr:row>18</xdr:row>
                    <xdr:rowOff>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175260</xdr:colOff>
                    <xdr:row>17</xdr:row>
                    <xdr:rowOff>182880</xdr:rowOff>
                  </from>
                  <to>
                    <xdr:col>4</xdr:col>
                    <xdr:colOff>38100</xdr:colOff>
                    <xdr:row>19</xdr:row>
                    <xdr:rowOff>0</xdr:rowOff>
                  </to>
                </anchor>
              </controlPr>
            </control>
          </mc:Choice>
        </mc:AlternateContent>
        <mc:AlternateContent xmlns:mc="http://schemas.openxmlformats.org/markup-compatibility/2006">
          <mc:Choice Requires="x14">
            <control shapeId="15366" r:id="rId8" name="Check Box 6">
              <controlPr defaultSize="0" autoFill="0" autoLine="0" autoPict="0">
                <anchor moveWithCells="1">
                  <from>
                    <xdr:col>2</xdr:col>
                    <xdr:colOff>175260</xdr:colOff>
                    <xdr:row>18</xdr:row>
                    <xdr:rowOff>182880</xdr:rowOff>
                  </from>
                  <to>
                    <xdr:col>4</xdr:col>
                    <xdr:colOff>38100</xdr:colOff>
                    <xdr:row>20</xdr:row>
                    <xdr:rowOff>0</xdr:rowOff>
                  </to>
                </anchor>
              </controlPr>
            </control>
          </mc:Choice>
        </mc:AlternateContent>
        <mc:AlternateContent xmlns:mc="http://schemas.openxmlformats.org/markup-compatibility/2006">
          <mc:Choice Requires="x14">
            <control shapeId="15368" r:id="rId9" name="Check Box 8">
              <controlPr defaultSize="0" autoFill="0" autoLine="0" autoPict="0">
                <anchor moveWithCells="1">
                  <from>
                    <xdr:col>2</xdr:col>
                    <xdr:colOff>175260</xdr:colOff>
                    <xdr:row>19</xdr:row>
                    <xdr:rowOff>182880</xdr:rowOff>
                  </from>
                  <to>
                    <xdr:col>4</xdr:col>
                    <xdr:colOff>38100</xdr:colOff>
                    <xdr:row>21</xdr:row>
                    <xdr:rowOff>0</xdr:rowOff>
                  </to>
                </anchor>
              </controlPr>
            </control>
          </mc:Choice>
        </mc:AlternateContent>
        <mc:AlternateContent xmlns:mc="http://schemas.openxmlformats.org/markup-compatibility/2006">
          <mc:Choice Requires="x14">
            <control shapeId="15370" r:id="rId10" name="Check Box 10">
              <controlPr defaultSize="0" autoFill="0" autoLine="0" autoPict="0">
                <anchor moveWithCells="1">
                  <from>
                    <xdr:col>2</xdr:col>
                    <xdr:colOff>182880</xdr:colOff>
                    <xdr:row>20</xdr:row>
                    <xdr:rowOff>182880</xdr:rowOff>
                  </from>
                  <to>
                    <xdr:col>4</xdr:col>
                    <xdr:colOff>45720</xdr:colOff>
                    <xdr:row>22</xdr:row>
                    <xdr:rowOff>0</xdr:rowOff>
                  </to>
                </anchor>
              </controlPr>
            </control>
          </mc:Choice>
        </mc:AlternateContent>
        <mc:AlternateContent xmlns:mc="http://schemas.openxmlformats.org/markup-compatibility/2006">
          <mc:Choice Requires="x14">
            <control shapeId="15372" r:id="rId11" name="Check Box 12">
              <controlPr defaultSize="0" autoFill="0" autoLine="0" autoPict="0">
                <anchor moveWithCells="1">
                  <from>
                    <xdr:col>7</xdr:col>
                    <xdr:colOff>175260</xdr:colOff>
                    <xdr:row>15</xdr:row>
                    <xdr:rowOff>0</xdr:rowOff>
                  </from>
                  <to>
                    <xdr:col>7</xdr:col>
                    <xdr:colOff>502920</xdr:colOff>
                    <xdr:row>16</xdr:row>
                    <xdr:rowOff>7620</xdr:rowOff>
                  </to>
                </anchor>
              </controlPr>
            </control>
          </mc:Choice>
        </mc:AlternateContent>
        <mc:AlternateContent xmlns:mc="http://schemas.openxmlformats.org/markup-compatibility/2006">
          <mc:Choice Requires="x14">
            <control shapeId="15373" r:id="rId12" name="Check Box 13">
              <controlPr defaultSize="0" autoFill="0" autoLine="0" autoPict="0">
                <anchor moveWithCells="1">
                  <from>
                    <xdr:col>7</xdr:col>
                    <xdr:colOff>175260</xdr:colOff>
                    <xdr:row>15</xdr:row>
                    <xdr:rowOff>182880</xdr:rowOff>
                  </from>
                  <to>
                    <xdr:col>7</xdr:col>
                    <xdr:colOff>502920</xdr:colOff>
                    <xdr:row>17</xdr:row>
                    <xdr:rowOff>0</xdr:rowOff>
                  </to>
                </anchor>
              </controlPr>
            </control>
          </mc:Choice>
        </mc:AlternateContent>
        <mc:AlternateContent xmlns:mc="http://schemas.openxmlformats.org/markup-compatibility/2006">
          <mc:Choice Requires="x14">
            <control shapeId="15374" r:id="rId13" name="Check Box 14">
              <controlPr defaultSize="0" autoFill="0" autoLine="0" autoPict="0">
                <anchor moveWithCells="1">
                  <from>
                    <xdr:col>7</xdr:col>
                    <xdr:colOff>175260</xdr:colOff>
                    <xdr:row>16</xdr:row>
                    <xdr:rowOff>182880</xdr:rowOff>
                  </from>
                  <to>
                    <xdr:col>7</xdr:col>
                    <xdr:colOff>502920</xdr:colOff>
                    <xdr:row>18</xdr:row>
                    <xdr:rowOff>0</xdr:rowOff>
                  </to>
                </anchor>
              </controlPr>
            </control>
          </mc:Choice>
        </mc:AlternateContent>
        <mc:AlternateContent xmlns:mc="http://schemas.openxmlformats.org/markup-compatibility/2006">
          <mc:Choice Requires="x14">
            <control shapeId="15375" r:id="rId14" name="Check Box 15">
              <controlPr defaultSize="0" autoFill="0" autoLine="0" autoPict="0">
                <anchor moveWithCells="1">
                  <from>
                    <xdr:col>7</xdr:col>
                    <xdr:colOff>175260</xdr:colOff>
                    <xdr:row>17</xdr:row>
                    <xdr:rowOff>182880</xdr:rowOff>
                  </from>
                  <to>
                    <xdr:col>7</xdr:col>
                    <xdr:colOff>502920</xdr:colOff>
                    <xdr:row>19</xdr:row>
                    <xdr:rowOff>0</xdr:rowOff>
                  </to>
                </anchor>
              </controlPr>
            </control>
          </mc:Choice>
        </mc:AlternateContent>
        <mc:AlternateContent xmlns:mc="http://schemas.openxmlformats.org/markup-compatibility/2006">
          <mc:Choice Requires="x14">
            <control shapeId="15377" r:id="rId15" name="Check Box 17">
              <controlPr defaultSize="0" autoFill="0" autoLine="0" autoPict="0">
                <anchor moveWithCells="1">
                  <from>
                    <xdr:col>7</xdr:col>
                    <xdr:colOff>175260</xdr:colOff>
                    <xdr:row>18</xdr:row>
                    <xdr:rowOff>182880</xdr:rowOff>
                  </from>
                  <to>
                    <xdr:col>7</xdr:col>
                    <xdr:colOff>502920</xdr:colOff>
                    <xdr:row>20</xdr:row>
                    <xdr:rowOff>0</xdr:rowOff>
                  </to>
                </anchor>
              </controlPr>
            </control>
          </mc:Choice>
        </mc:AlternateContent>
        <mc:AlternateContent xmlns:mc="http://schemas.openxmlformats.org/markup-compatibility/2006">
          <mc:Choice Requires="x14">
            <control shapeId="15379" r:id="rId16" name="Check Box 19">
              <controlPr defaultSize="0" autoFill="0" autoLine="0" autoPict="0">
                <anchor moveWithCells="1">
                  <from>
                    <xdr:col>7</xdr:col>
                    <xdr:colOff>175260</xdr:colOff>
                    <xdr:row>19</xdr:row>
                    <xdr:rowOff>182880</xdr:rowOff>
                  </from>
                  <to>
                    <xdr:col>7</xdr:col>
                    <xdr:colOff>502920</xdr:colOff>
                    <xdr:row>21</xdr:row>
                    <xdr:rowOff>0</xdr:rowOff>
                  </to>
                </anchor>
              </controlPr>
            </control>
          </mc:Choice>
        </mc:AlternateContent>
        <mc:AlternateContent xmlns:mc="http://schemas.openxmlformats.org/markup-compatibility/2006">
          <mc:Choice Requires="x14">
            <control shapeId="15381" r:id="rId17" name="Check Box 21">
              <controlPr defaultSize="0" autoFill="0" autoLine="0" autoPict="0">
                <anchor moveWithCells="1">
                  <from>
                    <xdr:col>7</xdr:col>
                    <xdr:colOff>175260</xdr:colOff>
                    <xdr:row>20</xdr:row>
                    <xdr:rowOff>182880</xdr:rowOff>
                  </from>
                  <to>
                    <xdr:col>7</xdr:col>
                    <xdr:colOff>502920</xdr:colOff>
                    <xdr:row>22</xdr:row>
                    <xdr:rowOff>0</xdr:rowOff>
                  </to>
                </anchor>
              </controlPr>
            </control>
          </mc:Choice>
        </mc:AlternateContent>
        <mc:AlternateContent xmlns:mc="http://schemas.openxmlformats.org/markup-compatibility/2006">
          <mc:Choice Requires="x14">
            <control shapeId="15383" r:id="rId18" name="Check Box 23">
              <controlPr defaultSize="0" autoFill="0" autoLine="0" autoPict="0">
                <anchor moveWithCells="1">
                  <from>
                    <xdr:col>12</xdr:col>
                    <xdr:colOff>175260</xdr:colOff>
                    <xdr:row>15</xdr:row>
                    <xdr:rowOff>0</xdr:rowOff>
                  </from>
                  <to>
                    <xdr:col>14</xdr:col>
                    <xdr:colOff>38100</xdr:colOff>
                    <xdr:row>16</xdr:row>
                    <xdr:rowOff>7620</xdr:rowOff>
                  </to>
                </anchor>
              </controlPr>
            </control>
          </mc:Choice>
        </mc:AlternateContent>
        <mc:AlternateContent xmlns:mc="http://schemas.openxmlformats.org/markup-compatibility/2006">
          <mc:Choice Requires="x14">
            <control shapeId="15384" r:id="rId19" name="Check Box 24">
              <controlPr defaultSize="0" autoFill="0" autoLine="0" autoPict="0">
                <anchor moveWithCells="1">
                  <from>
                    <xdr:col>12</xdr:col>
                    <xdr:colOff>175260</xdr:colOff>
                    <xdr:row>15</xdr:row>
                    <xdr:rowOff>182880</xdr:rowOff>
                  </from>
                  <to>
                    <xdr:col>14</xdr:col>
                    <xdr:colOff>38100</xdr:colOff>
                    <xdr:row>17</xdr:row>
                    <xdr:rowOff>0</xdr:rowOff>
                  </to>
                </anchor>
              </controlPr>
            </control>
          </mc:Choice>
        </mc:AlternateContent>
        <mc:AlternateContent xmlns:mc="http://schemas.openxmlformats.org/markup-compatibility/2006">
          <mc:Choice Requires="x14">
            <control shapeId="15385" r:id="rId20" name="Check Box 25">
              <controlPr defaultSize="0" autoFill="0" autoLine="0" autoPict="0">
                <anchor moveWithCells="1">
                  <from>
                    <xdr:col>12</xdr:col>
                    <xdr:colOff>175260</xdr:colOff>
                    <xdr:row>16</xdr:row>
                    <xdr:rowOff>182880</xdr:rowOff>
                  </from>
                  <to>
                    <xdr:col>14</xdr:col>
                    <xdr:colOff>38100</xdr:colOff>
                    <xdr:row>18</xdr:row>
                    <xdr:rowOff>0</xdr:rowOff>
                  </to>
                </anchor>
              </controlPr>
            </control>
          </mc:Choice>
        </mc:AlternateContent>
        <mc:AlternateContent xmlns:mc="http://schemas.openxmlformats.org/markup-compatibility/2006">
          <mc:Choice Requires="x14">
            <control shapeId="15386" r:id="rId21" name="Check Box 26">
              <controlPr defaultSize="0" autoFill="0" autoLine="0" autoPict="0">
                <anchor moveWithCells="1">
                  <from>
                    <xdr:col>12</xdr:col>
                    <xdr:colOff>175260</xdr:colOff>
                    <xdr:row>17</xdr:row>
                    <xdr:rowOff>182880</xdr:rowOff>
                  </from>
                  <to>
                    <xdr:col>14</xdr:col>
                    <xdr:colOff>38100</xdr:colOff>
                    <xdr:row>19</xdr:row>
                    <xdr:rowOff>0</xdr:rowOff>
                  </to>
                </anchor>
              </controlPr>
            </control>
          </mc:Choice>
        </mc:AlternateContent>
        <mc:AlternateContent xmlns:mc="http://schemas.openxmlformats.org/markup-compatibility/2006">
          <mc:Choice Requires="x14">
            <control shapeId="15388" r:id="rId22" name="Check Box 28">
              <controlPr defaultSize="0" autoFill="0" autoLine="0" autoPict="0">
                <anchor moveWithCells="1">
                  <from>
                    <xdr:col>12</xdr:col>
                    <xdr:colOff>175260</xdr:colOff>
                    <xdr:row>18</xdr:row>
                    <xdr:rowOff>182880</xdr:rowOff>
                  </from>
                  <to>
                    <xdr:col>14</xdr:col>
                    <xdr:colOff>38100</xdr:colOff>
                    <xdr:row>20</xdr:row>
                    <xdr:rowOff>0</xdr:rowOff>
                  </to>
                </anchor>
              </controlPr>
            </control>
          </mc:Choice>
        </mc:AlternateContent>
        <mc:AlternateContent xmlns:mc="http://schemas.openxmlformats.org/markup-compatibility/2006">
          <mc:Choice Requires="x14">
            <control shapeId="15390" r:id="rId23" name="Check Box 30">
              <controlPr defaultSize="0" autoFill="0" autoLine="0" autoPict="0">
                <anchor moveWithCells="1">
                  <from>
                    <xdr:col>12</xdr:col>
                    <xdr:colOff>175260</xdr:colOff>
                    <xdr:row>19</xdr:row>
                    <xdr:rowOff>182880</xdr:rowOff>
                  </from>
                  <to>
                    <xdr:col>14</xdr:col>
                    <xdr:colOff>38100</xdr:colOff>
                    <xdr:row>21</xdr:row>
                    <xdr:rowOff>0</xdr:rowOff>
                  </to>
                </anchor>
              </controlPr>
            </control>
          </mc:Choice>
        </mc:AlternateContent>
        <mc:AlternateContent xmlns:mc="http://schemas.openxmlformats.org/markup-compatibility/2006">
          <mc:Choice Requires="x14">
            <control shapeId="15392" r:id="rId24" name="Check Box 32">
              <controlPr defaultSize="0" autoFill="0" autoLine="0" autoPict="0">
                <anchor moveWithCells="1">
                  <from>
                    <xdr:col>12</xdr:col>
                    <xdr:colOff>175260</xdr:colOff>
                    <xdr:row>20</xdr:row>
                    <xdr:rowOff>182880</xdr:rowOff>
                  </from>
                  <to>
                    <xdr:col>14</xdr:col>
                    <xdr:colOff>38100</xdr:colOff>
                    <xdr:row>22</xdr:row>
                    <xdr:rowOff>0</xdr:rowOff>
                  </to>
                </anchor>
              </controlPr>
            </control>
          </mc:Choice>
        </mc:AlternateContent>
        <mc:AlternateContent xmlns:mc="http://schemas.openxmlformats.org/markup-compatibility/2006">
          <mc:Choice Requires="x14">
            <control shapeId="15394" r:id="rId25" name="Check Box 34">
              <controlPr defaultSize="0" autoFill="0" autoLine="0" autoPict="0">
                <anchor moveWithCells="1">
                  <from>
                    <xdr:col>17</xdr:col>
                    <xdr:colOff>175260</xdr:colOff>
                    <xdr:row>15</xdr:row>
                    <xdr:rowOff>0</xdr:rowOff>
                  </from>
                  <to>
                    <xdr:col>19</xdr:col>
                    <xdr:colOff>38100</xdr:colOff>
                    <xdr:row>16</xdr:row>
                    <xdr:rowOff>7620</xdr:rowOff>
                  </to>
                </anchor>
              </controlPr>
            </control>
          </mc:Choice>
        </mc:AlternateContent>
        <mc:AlternateContent xmlns:mc="http://schemas.openxmlformats.org/markup-compatibility/2006">
          <mc:Choice Requires="x14">
            <control shapeId="15395" r:id="rId26" name="Check Box 35">
              <controlPr defaultSize="0" autoFill="0" autoLine="0" autoPict="0">
                <anchor moveWithCells="1">
                  <from>
                    <xdr:col>17</xdr:col>
                    <xdr:colOff>175260</xdr:colOff>
                    <xdr:row>15</xdr:row>
                    <xdr:rowOff>182880</xdr:rowOff>
                  </from>
                  <to>
                    <xdr:col>19</xdr:col>
                    <xdr:colOff>38100</xdr:colOff>
                    <xdr:row>17</xdr:row>
                    <xdr:rowOff>0</xdr:rowOff>
                  </to>
                </anchor>
              </controlPr>
            </control>
          </mc:Choice>
        </mc:AlternateContent>
        <mc:AlternateContent xmlns:mc="http://schemas.openxmlformats.org/markup-compatibility/2006">
          <mc:Choice Requires="x14">
            <control shapeId="15396" r:id="rId27" name="Check Box 36">
              <controlPr defaultSize="0" autoFill="0" autoLine="0" autoPict="0">
                <anchor moveWithCells="1">
                  <from>
                    <xdr:col>17</xdr:col>
                    <xdr:colOff>175260</xdr:colOff>
                    <xdr:row>16</xdr:row>
                    <xdr:rowOff>182880</xdr:rowOff>
                  </from>
                  <to>
                    <xdr:col>19</xdr:col>
                    <xdr:colOff>38100</xdr:colOff>
                    <xdr:row>18</xdr:row>
                    <xdr:rowOff>0</xdr:rowOff>
                  </to>
                </anchor>
              </controlPr>
            </control>
          </mc:Choice>
        </mc:AlternateContent>
        <mc:AlternateContent xmlns:mc="http://schemas.openxmlformats.org/markup-compatibility/2006">
          <mc:Choice Requires="x14">
            <control shapeId="15397" r:id="rId28" name="Check Box 37">
              <controlPr defaultSize="0" autoFill="0" autoLine="0" autoPict="0">
                <anchor moveWithCells="1">
                  <from>
                    <xdr:col>17</xdr:col>
                    <xdr:colOff>175260</xdr:colOff>
                    <xdr:row>17</xdr:row>
                    <xdr:rowOff>182880</xdr:rowOff>
                  </from>
                  <to>
                    <xdr:col>19</xdr:col>
                    <xdr:colOff>38100</xdr:colOff>
                    <xdr:row>19</xdr:row>
                    <xdr:rowOff>0</xdr:rowOff>
                  </to>
                </anchor>
              </controlPr>
            </control>
          </mc:Choice>
        </mc:AlternateContent>
        <mc:AlternateContent xmlns:mc="http://schemas.openxmlformats.org/markup-compatibility/2006">
          <mc:Choice Requires="x14">
            <control shapeId="15399" r:id="rId29" name="Check Box 39">
              <controlPr defaultSize="0" autoFill="0" autoLine="0" autoPict="0">
                <anchor moveWithCells="1">
                  <from>
                    <xdr:col>17</xdr:col>
                    <xdr:colOff>175260</xdr:colOff>
                    <xdr:row>18</xdr:row>
                    <xdr:rowOff>182880</xdr:rowOff>
                  </from>
                  <to>
                    <xdr:col>19</xdr:col>
                    <xdr:colOff>38100</xdr:colOff>
                    <xdr:row>20</xdr:row>
                    <xdr:rowOff>0</xdr:rowOff>
                  </to>
                </anchor>
              </controlPr>
            </control>
          </mc:Choice>
        </mc:AlternateContent>
        <mc:AlternateContent xmlns:mc="http://schemas.openxmlformats.org/markup-compatibility/2006">
          <mc:Choice Requires="x14">
            <control shapeId="15401" r:id="rId30" name="Check Box 41">
              <controlPr defaultSize="0" autoFill="0" autoLine="0" autoPict="0">
                <anchor moveWithCells="1">
                  <from>
                    <xdr:col>17</xdr:col>
                    <xdr:colOff>175260</xdr:colOff>
                    <xdr:row>19</xdr:row>
                    <xdr:rowOff>182880</xdr:rowOff>
                  </from>
                  <to>
                    <xdr:col>19</xdr:col>
                    <xdr:colOff>38100</xdr:colOff>
                    <xdr:row>21</xdr:row>
                    <xdr:rowOff>0</xdr:rowOff>
                  </to>
                </anchor>
              </controlPr>
            </control>
          </mc:Choice>
        </mc:AlternateContent>
        <mc:AlternateContent xmlns:mc="http://schemas.openxmlformats.org/markup-compatibility/2006">
          <mc:Choice Requires="x14">
            <control shapeId="15403" r:id="rId31" name="Check Box 43">
              <controlPr defaultSize="0" autoFill="0" autoLine="0" autoPict="0">
                <anchor moveWithCells="1">
                  <from>
                    <xdr:col>17</xdr:col>
                    <xdr:colOff>175260</xdr:colOff>
                    <xdr:row>20</xdr:row>
                    <xdr:rowOff>182880</xdr:rowOff>
                  </from>
                  <to>
                    <xdr:col>19</xdr:col>
                    <xdr:colOff>38100</xdr:colOff>
                    <xdr:row>22</xdr:row>
                    <xdr:rowOff>0</xdr:rowOff>
                  </to>
                </anchor>
              </controlPr>
            </control>
          </mc:Choice>
        </mc:AlternateContent>
        <mc:AlternateContent xmlns:mc="http://schemas.openxmlformats.org/markup-compatibility/2006">
          <mc:Choice Requires="x14">
            <control shapeId="15405" r:id="rId32" name="Check Box 45">
              <controlPr defaultSize="0" autoFill="0" autoLine="0" autoPict="0">
                <anchor moveWithCells="1">
                  <from>
                    <xdr:col>22</xdr:col>
                    <xdr:colOff>175260</xdr:colOff>
                    <xdr:row>15</xdr:row>
                    <xdr:rowOff>0</xdr:rowOff>
                  </from>
                  <to>
                    <xdr:col>24</xdr:col>
                    <xdr:colOff>38100</xdr:colOff>
                    <xdr:row>16</xdr:row>
                    <xdr:rowOff>7620</xdr:rowOff>
                  </to>
                </anchor>
              </controlPr>
            </control>
          </mc:Choice>
        </mc:AlternateContent>
        <mc:AlternateContent xmlns:mc="http://schemas.openxmlformats.org/markup-compatibility/2006">
          <mc:Choice Requires="x14">
            <control shapeId="15406" r:id="rId33" name="Check Box 46">
              <controlPr defaultSize="0" autoFill="0" autoLine="0" autoPict="0">
                <anchor moveWithCells="1">
                  <from>
                    <xdr:col>22</xdr:col>
                    <xdr:colOff>175260</xdr:colOff>
                    <xdr:row>15</xdr:row>
                    <xdr:rowOff>182880</xdr:rowOff>
                  </from>
                  <to>
                    <xdr:col>24</xdr:col>
                    <xdr:colOff>38100</xdr:colOff>
                    <xdr:row>17</xdr:row>
                    <xdr:rowOff>0</xdr:rowOff>
                  </to>
                </anchor>
              </controlPr>
            </control>
          </mc:Choice>
        </mc:AlternateContent>
        <mc:AlternateContent xmlns:mc="http://schemas.openxmlformats.org/markup-compatibility/2006">
          <mc:Choice Requires="x14">
            <control shapeId="15407" r:id="rId34" name="Check Box 47">
              <controlPr defaultSize="0" autoFill="0" autoLine="0" autoPict="0">
                <anchor moveWithCells="1">
                  <from>
                    <xdr:col>22</xdr:col>
                    <xdr:colOff>175260</xdr:colOff>
                    <xdr:row>16</xdr:row>
                    <xdr:rowOff>182880</xdr:rowOff>
                  </from>
                  <to>
                    <xdr:col>24</xdr:col>
                    <xdr:colOff>38100</xdr:colOff>
                    <xdr:row>18</xdr:row>
                    <xdr:rowOff>0</xdr:rowOff>
                  </to>
                </anchor>
              </controlPr>
            </control>
          </mc:Choice>
        </mc:AlternateContent>
        <mc:AlternateContent xmlns:mc="http://schemas.openxmlformats.org/markup-compatibility/2006">
          <mc:Choice Requires="x14">
            <control shapeId="15408" r:id="rId35" name="Check Box 48">
              <controlPr defaultSize="0" autoFill="0" autoLine="0" autoPict="0">
                <anchor moveWithCells="1">
                  <from>
                    <xdr:col>22</xdr:col>
                    <xdr:colOff>175260</xdr:colOff>
                    <xdr:row>17</xdr:row>
                    <xdr:rowOff>182880</xdr:rowOff>
                  </from>
                  <to>
                    <xdr:col>24</xdr:col>
                    <xdr:colOff>38100</xdr:colOff>
                    <xdr:row>19</xdr:row>
                    <xdr:rowOff>0</xdr:rowOff>
                  </to>
                </anchor>
              </controlPr>
            </control>
          </mc:Choice>
        </mc:AlternateContent>
        <mc:AlternateContent xmlns:mc="http://schemas.openxmlformats.org/markup-compatibility/2006">
          <mc:Choice Requires="x14">
            <control shapeId="15410" r:id="rId36" name="Check Box 50">
              <controlPr defaultSize="0" autoFill="0" autoLine="0" autoPict="0">
                <anchor moveWithCells="1">
                  <from>
                    <xdr:col>22</xdr:col>
                    <xdr:colOff>175260</xdr:colOff>
                    <xdr:row>18</xdr:row>
                    <xdr:rowOff>182880</xdr:rowOff>
                  </from>
                  <to>
                    <xdr:col>24</xdr:col>
                    <xdr:colOff>38100</xdr:colOff>
                    <xdr:row>20</xdr:row>
                    <xdr:rowOff>0</xdr:rowOff>
                  </to>
                </anchor>
              </controlPr>
            </control>
          </mc:Choice>
        </mc:AlternateContent>
        <mc:AlternateContent xmlns:mc="http://schemas.openxmlformats.org/markup-compatibility/2006">
          <mc:Choice Requires="x14">
            <control shapeId="15412" r:id="rId37" name="Check Box 52">
              <controlPr defaultSize="0" autoFill="0" autoLine="0" autoPict="0">
                <anchor moveWithCells="1">
                  <from>
                    <xdr:col>22</xdr:col>
                    <xdr:colOff>175260</xdr:colOff>
                    <xdr:row>19</xdr:row>
                    <xdr:rowOff>182880</xdr:rowOff>
                  </from>
                  <to>
                    <xdr:col>24</xdr:col>
                    <xdr:colOff>38100</xdr:colOff>
                    <xdr:row>21</xdr:row>
                    <xdr:rowOff>0</xdr:rowOff>
                  </to>
                </anchor>
              </controlPr>
            </control>
          </mc:Choice>
        </mc:AlternateContent>
        <mc:AlternateContent xmlns:mc="http://schemas.openxmlformats.org/markup-compatibility/2006">
          <mc:Choice Requires="x14">
            <control shapeId="15414" r:id="rId38" name="Check Box 54">
              <controlPr defaultSize="0" autoFill="0" autoLine="0" autoPict="0">
                <anchor moveWithCells="1">
                  <from>
                    <xdr:col>22</xdr:col>
                    <xdr:colOff>175260</xdr:colOff>
                    <xdr:row>20</xdr:row>
                    <xdr:rowOff>182880</xdr:rowOff>
                  </from>
                  <to>
                    <xdr:col>24</xdr:col>
                    <xdr:colOff>38100</xdr:colOff>
                    <xdr:row>22</xdr:row>
                    <xdr:rowOff>0</xdr:rowOff>
                  </to>
                </anchor>
              </controlPr>
            </control>
          </mc:Choice>
        </mc:AlternateContent>
        <mc:AlternateContent xmlns:mc="http://schemas.openxmlformats.org/markup-compatibility/2006">
          <mc:Choice Requires="x14">
            <control shapeId="15416" r:id="rId39" name="Check Box 56">
              <controlPr defaultSize="0" autoFill="0" autoLine="0" autoPict="0">
                <anchor moveWithCells="1">
                  <from>
                    <xdr:col>27</xdr:col>
                    <xdr:colOff>175260</xdr:colOff>
                    <xdr:row>15</xdr:row>
                    <xdr:rowOff>0</xdr:rowOff>
                  </from>
                  <to>
                    <xdr:col>29</xdr:col>
                    <xdr:colOff>38100</xdr:colOff>
                    <xdr:row>16</xdr:row>
                    <xdr:rowOff>7620</xdr:rowOff>
                  </to>
                </anchor>
              </controlPr>
            </control>
          </mc:Choice>
        </mc:AlternateContent>
        <mc:AlternateContent xmlns:mc="http://schemas.openxmlformats.org/markup-compatibility/2006">
          <mc:Choice Requires="x14">
            <control shapeId="15417" r:id="rId40" name="Check Box 57">
              <controlPr defaultSize="0" autoFill="0" autoLine="0" autoPict="0">
                <anchor moveWithCells="1">
                  <from>
                    <xdr:col>27</xdr:col>
                    <xdr:colOff>175260</xdr:colOff>
                    <xdr:row>15</xdr:row>
                    <xdr:rowOff>182880</xdr:rowOff>
                  </from>
                  <to>
                    <xdr:col>29</xdr:col>
                    <xdr:colOff>38100</xdr:colOff>
                    <xdr:row>17</xdr:row>
                    <xdr:rowOff>0</xdr:rowOff>
                  </to>
                </anchor>
              </controlPr>
            </control>
          </mc:Choice>
        </mc:AlternateContent>
        <mc:AlternateContent xmlns:mc="http://schemas.openxmlformats.org/markup-compatibility/2006">
          <mc:Choice Requires="x14">
            <control shapeId="15418" r:id="rId41" name="Check Box 58">
              <controlPr defaultSize="0" autoFill="0" autoLine="0" autoPict="0">
                <anchor moveWithCells="1">
                  <from>
                    <xdr:col>27</xdr:col>
                    <xdr:colOff>175260</xdr:colOff>
                    <xdr:row>16</xdr:row>
                    <xdr:rowOff>182880</xdr:rowOff>
                  </from>
                  <to>
                    <xdr:col>29</xdr:col>
                    <xdr:colOff>38100</xdr:colOff>
                    <xdr:row>18</xdr:row>
                    <xdr:rowOff>0</xdr:rowOff>
                  </to>
                </anchor>
              </controlPr>
            </control>
          </mc:Choice>
        </mc:AlternateContent>
        <mc:AlternateContent xmlns:mc="http://schemas.openxmlformats.org/markup-compatibility/2006">
          <mc:Choice Requires="x14">
            <control shapeId="15419" r:id="rId42" name="Check Box 59">
              <controlPr defaultSize="0" autoFill="0" autoLine="0" autoPict="0">
                <anchor moveWithCells="1">
                  <from>
                    <xdr:col>27</xdr:col>
                    <xdr:colOff>175260</xdr:colOff>
                    <xdr:row>17</xdr:row>
                    <xdr:rowOff>182880</xdr:rowOff>
                  </from>
                  <to>
                    <xdr:col>29</xdr:col>
                    <xdr:colOff>38100</xdr:colOff>
                    <xdr:row>19</xdr:row>
                    <xdr:rowOff>0</xdr:rowOff>
                  </to>
                </anchor>
              </controlPr>
            </control>
          </mc:Choice>
        </mc:AlternateContent>
        <mc:AlternateContent xmlns:mc="http://schemas.openxmlformats.org/markup-compatibility/2006">
          <mc:Choice Requires="x14">
            <control shapeId="15421" r:id="rId43" name="Check Box 61">
              <controlPr defaultSize="0" autoFill="0" autoLine="0" autoPict="0">
                <anchor moveWithCells="1">
                  <from>
                    <xdr:col>27</xdr:col>
                    <xdr:colOff>175260</xdr:colOff>
                    <xdr:row>18</xdr:row>
                    <xdr:rowOff>182880</xdr:rowOff>
                  </from>
                  <to>
                    <xdr:col>29</xdr:col>
                    <xdr:colOff>38100</xdr:colOff>
                    <xdr:row>20</xdr:row>
                    <xdr:rowOff>0</xdr:rowOff>
                  </to>
                </anchor>
              </controlPr>
            </control>
          </mc:Choice>
        </mc:AlternateContent>
        <mc:AlternateContent xmlns:mc="http://schemas.openxmlformats.org/markup-compatibility/2006">
          <mc:Choice Requires="x14">
            <control shapeId="15423" r:id="rId44" name="Check Box 63">
              <controlPr defaultSize="0" autoFill="0" autoLine="0" autoPict="0">
                <anchor moveWithCells="1">
                  <from>
                    <xdr:col>27</xdr:col>
                    <xdr:colOff>175260</xdr:colOff>
                    <xdr:row>19</xdr:row>
                    <xdr:rowOff>182880</xdr:rowOff>
                  </from>
                  <to>
                    <xdr:col>29</xdr:col>
                    <xdr:colOff>38100</xdr:colOff>
                    <xdr:row>21</xdr:row>
                    <xdr:rowOff>0</xdr:rowOff>
                  </to>
                </anchor>
              </controlPr>
            </control>
          </mc:Choice>
        </mc:AlternateContent>
        <mc:AlternateContent xmlns:mc="http://schemas.openxmlformats.org/markup-compatibility/2006">
          <mc:Choice Requires="x14">
            <control shapeId="15425" r:id="rId45" name="Check Box 65">
              <controlPr defaultSize="0" autoFill="0" autoLine="0" autoPict="0">
                <anchor moveWithCells="1">
                  <from>
                    <xdr:col>27</xdr:col>
                    <xdr:colOff>175260</xdr:colOff>
                    <xdr:row>20</xdr:row>
                    <xdr:rowOff>182880</xdr:rowOff>
                  </from>
                  <to>
                    <xdr:col>29</xdr:col>
                    <xdr:colOff>38100</xdr:colOff>
                    <xdr:row>22</xdr:row>
                    <xdr:rowOff>0</xdr:rowOff>
                  </to>
                </anchor>
              </controlPr>
            </control>
          </mc:Choice>
        </mc:AlternateContent>
        <mc:AlternateContent xmlns:mc="http://schemas.openxmlformats.org/markup-compatibility/2006">
          <mc:Choice Requires="x14">
            <control shapeId="15427" r:id="rId46" name="Check Box 67">
              <controlPr defaultSize="0" autoFill="0" autoLine="0" autoPict="0">
                <anchor moveWithCells="1">
                  <from>
                    <xdr:col>32</xdr:col>
                    <xdr:colOff>175260</xdr:colOff>
                    <xdr:row>15</xdr:row>
                    <xdr:rowOff>0</xdr:rowOff>
                  </from>
                  <to>
                    <xdr:col>34</xdr:col>
                    <xdr:colOff>38100</xdr:colOff>
                    <xdr:row>16</xdr:row>
                    <xdr:rowOff>7620</xdr:rowOff>
                  </to>
                </anchor>
              </controlPr>
            </control>
          </mc:Choice>
        </mc:AlternateContent>
        <mc:AlternateContent xmlns:mc="http://schemas.openxmlformats.org/markup-compatibility/2006">
          <mc:Choice Requires="x14">
            <control shapeId="15428" r:id="rId47" name="Check Box 68">
              <controlPr defaultSize="0" autoFill="0" autoLine="0" autoPict="0">
                <anchor moveWithCells="1">
                  <from>
                    <xdr:col>32</xdr:col>
                    <xdr:colOff>175260</xdr:colOff>
                    <xdr:row>15</xdr:row>
                    <xdr:rowOff>182880</xdr:rowOff>
                  </from>
                  <to>
                    <xdr:col>34</xdr:col>
                    <xdr:colOff>38100</xdr:colOff>
                    <xdr:row>17</xdr:row>
                    <xdr:rowOff>0</xdr:rowOff>
                  </to>
                </anchor>
              </controlPr>
            </control>
          </mc:Choice>
        </mc:AlternateContent>
        <mc:AlternateContent xmlns:mc="http://schemas.openxmlformats.org/markup-compatibility/2006">
          <mc:Choice Requires="x14">
            <control shapeId="15429" r:id="rId48" name="Check Box 69">
              <controlPr defaultSize="0" autoFill="0" autoLine="0" autoPict="0">
                <anchor moveWithCells="1">
                  <from>
                    <xdr:col>32</xdr:col>
                    <xdr:colOff>175260</xdr:colOff>
                    <xdr:row>16</xdr:row>
                    <xdr:rowOff>182880</xdr:rowOff>
                  </from>
                  <to>
                    <xdr:col>34</xdr:col>
                    <xdr:colOff>38100</xdr:colOff>
                    <xdr:row>18</xdr:row>
                    <xdr:rowOff>0</xdr:rowOff>
                  </to>
                </anchor>
              </controlPr>
            </control>
          </mc:Choice>
        </mc:AlternateContent>
        <mc:AlternateContent xmlns:mc="http://schemas.openxmlformats.org/markup-compatibility/2006">
          <mc:Choice Requires="x14">
            <control shapeId="15430" r:id="rId49" name="Check Box 70">
              <controlPr defaultSize="0" autoFill="0" autoLine="0" autoPict="0">
                <anchor moveWithCells="1">
                  <from>
                    <xdr:col>32</xdr:col>
                    <xdr:colOff>175260</xdr:colOff>
                    <xdr:row>17</xdr:row>
                    <xdr:rowOff>182880</xdr:rowOff>
                  </from>
                  <to>
                    <xdr:col>34</xdr:col>
                    <xdr:colOff>38100</xdr:colOff>
                    <xdr:row>19</xdr:row>
                    <xdr:rowOff>0</xdr:rowOff>
                  </to>
                </anchor>
              </controlPr>
            </control>
          </mc:Choice>
        </mc:AlternateContent>
        <mc:AlternateContent xmlns:mc="http://schemas.openxmlformats.org/markup-compatibility/2006">
          <mc:Choice Requires="x14">
            <control shapeId="15432" r:id="rId50" name="Check Box 72">
              <controlPr defaultSize="0" autoFill="0" autoLine="0" autoPict="0">
                <anchor moveWithCells="1">
                  <from>
                    <xdr:col>32</xdr:col>
                    <xdr:colOff>175260</xdr:colOff>
                    <xdr:row>18</xdr:row>
                    <xdr:rowOff>182880</xdr:rowOff>
                  </from>
                  <to>
                    <xdr:col>34</xdr:col>
                    <xdr:colOff>38100</xdr:colOff>
                    <xdr:row>20</xdr:row>
                    <xdr:rowOff>0</xdr:rowOff>
                  </to>
                </anchor>
              </controlPr>
            </control>
          </mc:Choice>
        </mc:AlternateContent>
        <mc:AlternateContent xmlns:mc="http://schemas.openxmlformats.org/markup-compatibility/2006">
          <mc:Choice Requires="x14">
            <control shapeId="15434" r:id="rId51" name="Check Box 74">
              <controlPr defaultSize="0" autoFill="0" autoLine="0" autoPict="0">
                <anchor moveWithCells="1">
                  <from>
                    <xdr:col>32</xdr:col>
                    <xdr:colOff>175260</xdr:colOff>
                    <xdr:row>19</xdr:row>
                    <xdr:rowOff>182880</xdr:rowOff>
                  </from>
                  <to>
                    <xdr:col>34</xdr:col>
                    <xdr:colOff>38100</xdr:colOff>
                    <xdr:row>21</xdr:row>
                    <xdr:rowOff>0</xdr:rowOff>
                  </to>
                </anchor>
              </controlPr>
            </control>
          </mc:Choice>
        </mc:AlternateContent>
        <mc:AlternateContent xmlns:mc="http://schemas.openxmlformats.org/markup-compatibility/2006">
          <mc:Choice Requires="x14">
            <control shapeId="15436" r:id="rId52" name="Check Box 76">
              <controlPr defaultSize="0" autoFill="0" autoLine="0" autoPict="0">
                <anchor moveWithCells="1">
                  <from>
                    <xdr:col>32</xdr:col>
                    <xdr:colOff>175260</xdr:colOff>
                    <xdr:row>20</xdr:row>
                    <xdr:rowOff>182880</xdr:rowOff>
                  </from>
                  <to>
                    <xdr:col>34</xdr:col>
                    <xdr:colOff>38100</xdr:colOff>
                    <xdr:row>22</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7"/>
  <sheetViews>
    <sheetView zoomScale="90" zoomScaleNormal="90" workbookViewId="0">
      <selection activeCell="J15" sqref="J15"/>
    </sheetView>
  </sheetViews>
  <sheetFormatPr defaultColWidth="9.109375" defaultRowHeight="14.4" x14ac:dyDescent="0.3"/>
  <cols>
    <col min="1" max="1" width="2.88671875" style="1" customWidth="1"/>
    <col min="2" max="2" width="18.6640625" style="1" customWidth="1"/>
    <col min="3" max="3" width="10.5546875" style="1" customWidth="1"/>
    <col min="4" max="4" width="3.5546875" style="1" customWidth="1"/>
    <col min="5" max="5" width="23.44140625" style="1" customWidth="1"/>
    <col min="6" max="6" width="9.88671875" style="1" customWidth="1"/>
    <col min="7" max="7" width="11.109375" style="1" customWidth="1"/>
    <col min="8" max="8" width="9.88671875" style="1" customWidth="1"/>
    <col min="9" max="9" width="11.5546875" style="1" customWidth="1"/>
    <col min="10" max="10" width="25.88671875" style="1" customWidth="1"/>
    <col min="11" max="11" width="11.33203125" style="1" customWidth="1"/>
    <col min="12" max="12" width="8.109375" style="1" customWidth="1"/>
    <col min="13" max="13" width="14.33203125" style="1" customWidth="1"/>
    <col min="14" max="16384" width="9.109375" style="1"/>
  </cols>
  <sheetData>
    <row r="1" spans="2:13" ht="21" x14ac:dyDescent="0.4">
      <c r="B1" s="18" t="s">
        <v>16</v>
      </c>
    </row>
    <row r="2" spans="2:13" ht="15" customHeight="1" x14ac:dyDescent="0.25">
      <c r="B2" s="2"/>
    </row>
    <row r="3" spans="2:13" x14ac:dyDescent="0.3">
      <c r="B3" s="186" t="s">
        <v>207</v>
      </c>
      <c r="C3" s="187"/>
      <c r="D3" s="187"/>
      <c r="E3" s="187"/>
      <c r="F3" s="187"/>
      <c r="G3" s="187"/>
      <c r="H3" s="187"/>
      <c r="I3" s="187"/>
      <c r="J3" s="187"/>
      <c r="K3" s="187"/>
      <c r="L3" s="187"/>
      <c r="M3" s="187"/>
    </row>
    <row r="4" spans="2:13" ht="15" x14ac:dyDescent="0.25">
      <c r="B4" s="187" t="str">
        <f>Ohje!C129</f>
        <v>Tälle välilehdelle syötetään käsittelyn kustannukset jätelaitokselle (€/t). Syöttäkää jätelajikohtaiset jätteenkäsittelykustannukset.</v>
      </c>
      <c r="C4" s="187"/>
      <c r="D4" s="187"/>
      <c r="E4" s="187"/>
      <c r="F4" s="187"/>
      <c r="G4" s="187"/>
      <c r="H4" s="187"/>
      <c r="I4" s="187"/>
      <c r="J4" s="187"/>
      <c r="K4" s="187"/>
      <c r="L4" s="187"/>
      <c r="M4" s="187"/>
    </row>
    <row r="5" spans="2:13" ht="15.75" customHeight="1" x14ac:dyDescent="0.25">
      <c r="B5" s="187" t="str">
        <f>Ohje!C130</f>
        <v>Huomioikaa, että kartonkipakkauksilla, metallipakkauksilla, lasipakkauksilla, paperilla ja muovipakkauksilla hinta on oletusarvoisesti 0 €/t, koska jätelajit kuuluvat tuottajavastuun piiriin.</v>
      </c>
      <c r="C5" s="187"/>
      <c r="D5" s="187"/>
      <c r="E5" s="187"/>
      <c r="F5" s="187"/>
      <c r="G5" s="187"/>
      <c r="H5" s="187"/>
      <c r="I5" s="187"/>
      <c r="J5" s="187"/>
      <c r="K5" s="187"/>
      <c r="L5" s="187"/>
      <c r="M5" s="187"/>
    </row>
    <row r="6" spans="2:13" ht="15.75" customHeight="1" x14ac:dyDescent="0.25">
      <c r="B6" s="187" t="str">
        <f>Ohje!C131</f>
        <v>Jos jostakin jätelajista saakin tuloja (kuten metallista voi saada), merkitään tulot (€/t) soluun miinusmerkillä.</v>
      </c>
      <c r="C6" s="187"/>
      <c r="D6" s="187"/>
      <c r="E6" s="187"/>
      <c r="F6" s="187"/>
      <c r="G6" s="187"/>
      <c r="H6" s="187"/>
      <c r="I6" s="187"/>
      <c r="J6" s="187"/>
      <c r="K6" s="187"/>
      <c r="L6" s="187"/>
      <c r="M6" s="187"/>
    </row>
    <row r="8" spans="2:13" ht="15" customHeight="1" x14ac:dyDescent="0.3">
      <c r="B8" s="118"/>
      <c r="C8" s="32"/>
      <c r="E8" s="233" t="s">
        <v>39</v>
      </c>
      <c r="F8" s="233"/>
      <c r="G8" s="233"/>
    </row>
    <row r="9" spans="2:13" x14ac:dyDescent="0.3">
      <c r="B9" s="30" t="s">
        <v>122</v>
      </c>
      <c r="C9" s="90" t="s">
        <v>170</v>
      </c>
      <c r="E9" s="91"/>
      <c r="F9" s="90" t="s">
        <v>140</v>
      </c>
      <c r="G9" s="90" t="s">
        <v>38</v>
      </c>
    </row>
    <row r="10" spans="2:13" ht="15" customHeight="1" x14ac:dyDescent="0.25">
      <c r="B10" s="22" t="str">
        <f>Oletusarvot!B9</f>
        <v>Sekajäte</v>
      </c>
      <c r="C10" s="93">
        <f>Palvelutasot!H38</f>
        <v>0</v>
      </c>
      <c r="E10" s="22" t="str">
        <f>Oletusarvot!B9</f>
        <v>Sekajäte</v>
      </c>
      <c r="F10" s="213"/>
      <c r="G10" s="50">
        <f>C10*F10</f>
        <v>0</v>
      </c>
    </row>
    <row r="11" spans="2:13" ht="15" x14ac:dyDescent="0.25">
      <c r="B11" s="22" t="str">
        <f>Oletusarvot!B10</f>
        <v>Biojäte</v>
      </c>
      <c r="C11" s="93">
        <f>Palvelutasot!H39</f>
        <v>0</v>
      </c>
      <c r="E11" s="22" t="str">
        <f>Oletusarvot!B10</f>
        <v>Biojäte</v>
      </c>
      <c r="F11" s="213"/>
      <c r="G11" s="50">
        <f t="shared" ref="G11:G16" si="0">C11*F11</f>
        <v>0</v>
      </c>
    </row>
    <row r="12" spans="2:13" ht="15" x14ac:dyDescent="0.25">
      <c r="B12" s="22" t="str">
        <f>Oletusarvot!B11</f>
        <v>Kartonkipakkaukset</v>
      </c>
      <c r="C12" s="93">
        <f>Palvelutasot!H40</f>
        <v>0</v>
      </c>
      <c r="E12" s="22" t="str">
        <f>Oletusarvot!B11</f>
        <v>Kartonkipakkaukset</v>
      </c>
      <c r="F12" s="213"/>
      <c r="G12" s="50">
        <f t="shared" si="0"/>
        <v>0</v>
      </c>
    </row>
    <row r="13" spans="2:13" ht="15" x14ac:dyDescent="0.25">
      <c r="B13" s="22" t="str">
        <f>Oletusarvot!B12</f>
        <v>Metalli</v>
      </c>
      <c r="C13" s="93">
        <f>Palvelutasot!H41</f>
        <v>0</v>
      </c>
      <c r="E13" s="22" t="str">
        <f>Oletusarvot!B12</f>
        <v>Metalli</v>
      </c>
      <c r="F13" s="213"/>
      <c r="G13" s="50">
        <f t="shared" si="0"/>
        <v>0</v>
      </c>
    </row>
    <row r="14" spans="2:13" ht="15" x14ac:dyDescent="0.25">
      <c r="B14" s="22" t="str">
        <f>Oletusarvot!B13</f>
        <v>Lasipakkaukset</v>
      </c>
      <c r="C14" s="93">
        <f>Palvelutasot!H42</f>
        <v>0</v>
      </c>
      <c r="E14" s="22" t="str">
        <f>Oletusarvot!B13</f>
        <v>Lasipakkaukset</v>
      </c>
      <c r="F14" s="213"/>
      <c r="G14" s="50">
        <f t="shared" si="0"/>
        <v>0</v>
      </c>
    </row>
    <row r="15" spans="2:13" ht="15" x14ac:dyDescent="0.25">
      <c r="B15" s="22" t="str">
        <f>Oletusarvot!B14</f>
        <v>Paperi</v>
      </c>
      <c r="C15" s="93">
        <f>Palvelutasot!H43</f>
        <v>0</v>
      </c>
      <c r="E15" s="22" t="str">
        <f>Oletusarvot!B14</f>
        <v>Paperi</v>
      </c>
      <c r="F15" s="213"/>
      <c r="G15" s="50">
        <f t="shared" si="0"/>
        <v>0</v>
      </c>
    </row>
    <row r="16" spans="2:13" ht="15" x14ac:dyDescent="0.25">
      <c r="B16" s="31" t="str">
        <f>Oletusarvot!B15</f>
        <v>Muovipakkaukset</v>
      </c>
      <c r="C16" s="84">
        <f>Palvelutasot!H44</f>
        <v>0</v>
      </c>
      <c r="E16" s="31" t="str">
        <f>Oletusarvot!B15</f>
        <v>Muovipakkaukset</v>
      </c>
      <c r="F16" s="214"/>
      <c r="G16" s="51">
        <f t="shared" si="0"/>
        <v>0</v>
      </c>
    </row>
    <row r="17" spans="2:7" ht="15" x14ac:dyDescent="0.25">
      <c r="B17" s="22"/>
      <c r="C17" s="93">
        <f>SUM(C10:C16)</f>
        <v>0</v>
      </c>
      <c r="E17" s="22"/>
      <c r="F17" s="52"/>
      <c r="G17" s="50">
        <f>SUM(G10:G16)</f>
        <v>0</v>
      </c>
    </row>
    <row r="18" spans="2:7" ht="15" customHeight="1" x14ac:dyDescent="0.25"/>
    <row r="20" spans="2:7" ht="15" customHeight="1" x14ac:dyDescent="0.25"/>
    <row r="22" spans="2:7" ht="15.75" customHeight="1" x14ac:dyDescent="0.25"/>
    <row r="23" spans="2:7" ht="15.75" customHeight="1" x14ac:dyDescent="0.25"/>
    <row r="27" spans="2:7" ht="15" x14ac:dyDescent="0.25">
      <c r="C27" s="49"/>
    </row>
  </sheetData>
  <sheetProtection sheet="1" objects="1" scenarios="1"/>
  <mergeCells count="1">
    <mergeCell ref="E8:G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9"/>
  <sheetViews>
    <sheetView zoomScale="90" zoomScaleNormal="90" workbookViewId="0">
      <selection activeCell="E21" sqref="E21"/>
    </sheetView>
  </sheetViews>
  <sheetFormatPr defaultColWidth="9.109375" defaultRowHeight="14.4" x14ac:dyDescent="0.3"/>
  <cols>
    <col min="1" max="1" width="2.88671875" style="1" customWidth="1"/>
    <col min="2" max="2" width="29.6640625" style="1" customWidth="1"/>
    <col min="3" max="3" width="20.5546875" style="1" customWidth="1"/>
    <col min="4" max="4" width="19.44140625" style="1" customWidth="1"/>
    <col min="5" max="5" width="19.88671875" style="1" customWidth="1"/>
    <col min="6" max="6" width="21" style="1" customWidth="1"/>
    <col min="7" max="7" width="25.88671875" style="1" hidden="1" customWidth="1"/>
    <col min="8" max="8" width="20" style="1" hidden="1" customWidth="1"/>
    <col min="9" max="9" width="24.5546875" style="1" hidden="1" customWidth="1"/>
    <col min="10" max="10" width="21.5546875" style="1" hidden="1" customWidth="1"/>
    <col min="11" max="11" width="4.5546875" style="1" customWidth="1"/>
    <col min="12" max="12" width="28.5546875" style="1" customWidth="1"/>
    <col min="13" max="13" width="17.109375" style="1" customWidth="1"/>
    <col min="14" max="14" width="34.109375" style="1" customWidth="1"/>
    <col min="15" max="15" width="4.88671875" style="1" customWidth="1"/>
    <col min="16" max="16" width="17.5546875" style="1" customWidth="1"/>
    <col min="17" max="16384" width="9.109375" style="1"/>
  </cols>
  <sheetData>
    <row r="1" spans="2:17" ht="21" x14ac:dyDescent="0.35">
      <c r="B1" s="18" t="s">
        <v>6</v>
      </c>
    </row>
    <row r="2" spans="2:17" ht="15" x14ac:dyDescent="0.25">
      <c r="B2" s="2"/>
    </row>
    <row r="3" spans="2:17" ht="15" x14ac:dyDescent="0.25">
      <c r="B3" s="187" t="str">
        <f>Ohje!C147</f>
        <v>Tälle välilehdelle tuodaan kustannustiedot muilta välilehdiltä, ja subventioasteen eli tukiasteen avulla lasketaan sekajätteelle uudet palvelutasokohtaiset hinnat.</v>
      </c>
      <c r="C3" s="187"/>
      <c r="D3" s="187"/>
      <c r="E3" s="187"/>
      <c r="F3" s="187"/>
      <c r="G3" s="187"/>
      <c r="H3" s="187"/>
      <c r="I3" s="187"/>
      <c r="J3" s="187"/>
      <c r="K3" s="187"/>
      <c r="L3" s="187"/>
      <c r="M3" s="187"/>
    </row>
    <row r="4" spans="2:17" ht="15" x14ac:dyDescent="0.25">
      <c r="B4" s="187" t="str">
        <f>Ohje!C148</f>
        <v>Hinta määrittyy lineaarisen kaavan mukaan syöttämänne alimman hinnan perusteella.</v>
      </c>
      <c r="C4" s="187"/>
      <c r="D4" s="187"/>
      <c r="E4" s="187"/>
      <c r="F4" s="187"/>
      <c r="G4" s="187"/>
      <c r="H4" s="187"/>
      <c r="I4" s="187"/>
      <c r="J4" s="187"/>
      <c r="K4" s="187"/>
      <c r="L4" s="187"/>
      <c r="M4" s="187"/>
    </row>
    <row r="5" spans="2:17" ht="15" x14ac:dyDescent="0.25">
      <c r="B5" s="187" t="str">
        <f>Ohje!C149</f>
        <v>1. Syöttäkää kierrätettävien jätelajien subventioasteet prosentteina 0-100 %. Subventioaste määrittää kuinka suuri osa kierrätettävän jätelajin kustannuksista katetaan sekajätteen hinnalla.</v>
      </c>
      <c r="C5" s="187"/>
      <c r="D5" s="187"/>
      <c r="E5" s="187"/>
      <c r="F5" s="187"/>
      <c r="G5" s="187"/>
      <c r="H5" s="187"/>
      <c r="I5" s="187"/>
      <c r="J5" s="187"/>
      <c r="K5" s="187"/>
      <c r="L5" s="187"/>
      <c r="M5" s="187"/>
    </row>
    <row r="6" spans="2:17" ht="15" x14ac:dyDescent="0.25">
      <c r="B6" s="187" t="str">
        <f>Ohje!C150</f>
        <v xml:space="preserve">    Keräystä ja kuljetusta, sekä käsittelyä voi subventoida, mutta jos kierrätettävien lajien käsittely on jo 0 €, subventiolla ei ole merkitystä. </v>
      </c>
      <c r="C6" s="187"/>
      <c r="D6" s="187"/>
      <c r="E6" s="187"/>
      <c r="F6" s="187"/>
      <c r="G6" s="187"/>
      <c r="H6" s="187"/>
      <c r="I6" s="187"/>
      <c r="J6" s="187"/>
      <c r="K6" s="187"/>
      <c r="L6" s="187"/>
      <c r="M6" s="187"/>
    </row>
    <row r="7" spans="2:17" ht="15" x14ac:dyDescent="0.25">
      <c r="B7" s="187" t="str">
        <f>Ohje!C151</f>
        <v>2. Syöttäkää myös sekajätteen halvin €/t-hinta. Tämä tulee olemaan ensimmäisen palvelutason sekajätehinta, ja muiden palvelutasojen hinnat lasketaan tämän perusteella.</v>
      </c>
      <c r="C7" s="187"/>
      <c r="D7" s="187"/>
      <c r="E7" s="187"/>
      <c r="F7" s="187"/>
      <c r="G7" s="187"/>
      <c r="H7" s="187"/>
      <c r="I7" s="187"/>
      <c r="J7" s="187"/>
      <c r="K7" s="187"/>
      <c r="L7" s="187"/>
      <c r="M7" s="187"/>
    </row>
    <row r="8" spans="2:17" ht="15" x14ac:dyDescent="0.25">
      <c r="B8" s="187" t="str">
        <f>Ohje!C152</f>
        <v xml:space="preserve">    Subvention jälkeiset tulot näkyvät hinnanmuodostumisen alla.</v>
      </c>
      <c r="C8" s="187"/>
      <c r="D8" s="187"/>
      <c r="E8" s="187"/>
      <c r="F8" s="187"/>
      <c r="G8" s="187"/>
      <c r="H8" s="187"/>
      <c r="I8" s="187"/>
      <c r="J8" s="187"/>
      <c r="K8" s="187"/>
      <c r="L8" s="187"/>
      <c r="M8" s="187"/>
    </row>
    <row r="10" spans="2:17" x14ac:dyDescent="0.3">
      <c r="B10" s="30" t="s">
        <v>87</v>
      </c>
      <c r="C10" s="30" t="s">
        <v>53</v>
      </c>
      <c r="D10" s="30"/>
      <c r="E10" s="234" t="s">
        <v>175</v>
      </c>
      <c r="F10" s="234"/>
      <c r="G10" s="23" t="s">
        <v>54</v>
      </c>
      <c r="H10" s="23"/>
      <c r="I10" s="23"/>
      <c r="J10" s="8"/>
      <c r="L10" s="30" t="s">
        <v>61</v>
      </c>
      <c r="M10" s="59"/>
      <c r="N10" s="59"/>
      <c r="P10" s="30" t="s">
        <v>177</v>
      </c>
      <c r="Q10" s="30"/>
    </row>
    <row r="11" spans="2:17" ht="31.5" customHeight="1" x14ac:dyDescent="0.3">
      <c r="B11" s="119" t="s">
        <v>122</v>
      </c>
      <c r="C11" s="190" t="s">
        <v>212</v>
      </c>
      <c r="D11" s="190" t="s">
        <v>68</v>
      </c>
      <c r="E11" s="190" t="s">
        <v>213</v>
      </c>
      <c r="F11" s="189" t="s">
        <v>88</v>
      </c>
      <c r="G11" s="12" t="s">
        <v>73</v>
      </c>
      <c r="H11" s="1" t="s">
        <v>75</v>
      </c>
      <c r="I11" s="12" t="s">
        <v>74</v>
      </c>
      <c r="J11" s="1" t="s">
        <v>76</v>
      </c>
      <c r="L11" s="119" t="s">
        <v>122</v>
      </c>
      <c r="M11" s="91" t="s">
        <v>176</v>
      </c>
      <c r="N11" s="91" t="s">
        <v>187</v>
      </c>
      <c r="P11" s="119" t="s">
        <v>122</v>
      </c>
      <c r="Q11" s="90" t="s">
        <v>135</v>
      </c>
    </row>
    <row r="12" spans="2:17" x14ac:dyDescent="0.3">
      <c r="B12" s="22" t="str">
        <f>Oletusarvot!B9</f>
        <v>Sekajäte</v>
      </c>
      <c r="C12" s="60">
        <f>Operatiiviset!$F$26</f>
        <v>0</v>
      </c>
      <c r="D12" s="60">
        <f>Käsittely!$G$10</f>
        <v>0</v>
      </c>
      <c r="E12" s="22"/>
      <c r="F12" s="22"/>
      <c r="G12" s="53">
        <f>C12</f>
        <v>0</v>
      </c>
      <c r="H12" s="53"/>
      <c r="I12" s="53">
        <f>D12+H19+J19</f>
        <v>0</v>
      </c>
      <c r="J12" s="53"/>
      <c r="L12" s="22" t="str">
        <f>Oletusarvot!B9</f>
        <v>Sekajäte</v>
      </c>
      <c r="M12" s="60">
        <f>Käsittely!F10</f>
        <v>0</v>
      </c>
      <c r="N12" s="61" t="s">
        <v>60</v>
      </c>
      <c r="O12" s="12"/>
      <c r="P12" s="22" t="str">
        <f>Oletusarvot!B9</f>
        <v>Sekajäte</v>
      </c>
      <c r="Q12" s="93">
        <f>Palvelutasot!H38</f>
        <v>0</v>
      </c>
    </row>
    <row r="13" spans="2:17" ht="15" x14ac:dyDescent="0.25">
      <c r="B13" s="22" t="str">
        <f>Oletusarvot!B10</f>
        <v>Biojäte</v>
      </c>
      <c r="C13" s="60">
        <f>Operatiiviset!$L$26</f>
        <v>0</v>
      </c>
      <c r="D13" s="60">
        <f>Käsittely!$G11</f>
        <v>0</v>
      </c>
      <c r="E13" s="215"/>
      <c r="F13" s="215"/>
      <c r="G13" s="53">
        <f t="shared" ref="G13:G18" si="0">(1-E13)*C13</f>
        <v>0</v>
      </c>
      <c r="H13" s="53">
        <f t="shared" ref="H13:H18" si="1">E13*C13</f>
        <v>0</v>
      </c>
      <c r="I13" s="53">
        <f t="shared" ref="I13:I18" si="2">(1-F13)*D13</f>
        <v>0</v>
      </c>
      <c r="J13" s="53">
        <f t="shared" ref="J13:J18" si="3">F13*D13</f>
        <v>0</v>
      </c>
      <c r="L13" s="22" t="str">
        <f>Oletusarvot!B10</f>
        <v>Biojäte</v>
      </c>
      <c r="M13" s="60">
        <f>Käsittely!F11</f>
        <v>0</v>
      </c>
      <c r="N13" s="60" t="e">
        <f t="shared" ref="N13:N18" si="4">I13/Q13</f>
        <v>#DIV/0!</v>
      </c>
      <c r="O13" s="12"/>
      <c r="P13" s="22" t="str">
        <f>Oletusarvot!B10</f>
        <v>Biojäte</v>
      </c>
      <c r="Q13" s="93">
        <f>Palvelutasot!H39</f>
        <v>0</v>
      </c>
    </row>
    <row r="14" spans="2:17" ht="15" x14ac:dyDescent="0.25">
      <c r="B14" s="22" t="str">
        <f>Oletusarvot!B11</f>
        <v>Kartonkipakkaukset</v>
      </c>
      <c r="C14" s="60">
        <f>Operatiiviset!$F$45</f>
        <v>0</v>
      </c>
      <c r="D14" s="60">
        <f>Käsittely!$G12</f>
        <v>0</v>
      </c>
      <c r="E14" s="215"/>
      <c r="F14" s="216"/>
      <c r="G14" s="53">
        <f t="shared" si="0"/>
        <v>0</v>
      </c>
      <c r="H14" s="53">
        <f t="shared" si="1"/>
        <v>0</v>
      </c>
      <c r="I14" s="53">
        <f t="shared" si="2"/>
        <v>0</v>
      </c>
      <c r="J14" s="53">
        <f t="shared" si="3"/>
        <v>0</v>
      </c>
      <c r="L14" s="22" t="str">
        <f>Oletusarvot!B11</f>
        <v>Kartonkipakkaukset</v>
      </c>
      <c r="M14" s="60">
        <f>Käsittely!F12</f>
        <v>0</v>
      </c>
      <c r="N14" s="60" t="e">
        <f t="shared" si="4"/>
        <v>#DIV/0!</v>
      </c>
      <c r="O14" s="12"/>
      <c r="P14" s="22" t="str">
        <f>Oletusarvot!B11</f>
        <v>Kartonkipakkaukset</v>
      </c>
      <c r="Q14" s="93">
        <f>Palvelutasot!H40</f>
        <v>0</v>
      </c>
    </row>
    <row r="15" spans="2:17" ht="15" x14ac:dyDescent="0.25">
      <c r="B15" s="22" t="str">
        <f>Oletusarvot!B12</f>
        <v>Metalli</v>
      </c>
      <c r="C15" s="60">
        <f>Operatiiviset!$L$36</f>
        <v>0</v>
      </c>
      <c r="D15" s="60">
        <f>Käsittely!$G13</f>
        <v>0</v>
      </c>
      <c r="E15" s="215"/>
      <c r="F15" s="215"/>
      <c r="G15" s="53">
        <f t="shared" si="0"/>
        <v>0</v>
      </c>
      <c r="H15" s="53">
        <f t="shared" si="1"/>
        <v>0</v>
      </c>
      <c r="I15" s="53">
        <f t="shared" si="2"/>
        <v>0</v>
      </c>
      <c r="J15" s="53">
        <f t="shared" si="3"/>
        <v>0</v>
      </c>
      <c r="L15" s="22" t="str">
        <f>Oletusarvot!B12</f>
        <v>Metalli</v>
      </c>
      <c r="M15" s="60">
        <f>Käsittely!F13</f>
        <v>0</v>
      </c>
      <c r="N15" s="60" t="e">
        <f t="shared" si="4"/>
        <v>#DIV/0!</v>
      </c>
      <c r="O15" s="12"/>
      <c r="P15" s="22" t="str">
        <f>Oletusarvot!B12</f>
        <v>Metalli</v>
      </c>
      <c r="Q15" s="93">
        <f>Palvelutasot!H41</f>
        <v>0</v>
      </c>
    </row>
    <row r="16" spans="2:17" ht="15" x14ac:dyDescent="0.25">
      <c r="B16" s="22" t="str">
        <f>Oletusarvot!B13</f>
        <v>Lasipakkaukset</v>
      </c>
      <c r="C16" s="60">
        <f>Operatiiviset!$F$36</f>
        <v>0</v>
      </c>
      <c r="D16" s="60">
        <f>Käsittely!$G14</f>
        <v>0</v>
      </c>
      <c r="E16" s="215"/>
      <c r="F16" s="215"/>
      <c r="G16" s="53">
        <f t="shared" si="0"/>
        <v>0</v>
      </c>
      <c r="H16" s="53">
        <f t="shared" si="1"/>
        <v>0</v>
      </c>
      <c r="I16" s="53">
        <f t="shared" si="2"/>
        <v>0</v>
      </c>
      <c r="J16" s="53">
        <f t="shared" si="3"/>
        <v>0</v>
      </c>
      <c r="L16" s="22" t="str">
        <f>Oletusarvot!B13</f>
        <v>Lasipakkaukset</v>
      </c>
      <c r="M16" s="60">
        <f>Käsittely!F14</f>
        <v>0</v>
      </c>
      <c r="N16" s="60" t="e">
        <f t="shared" si="4"/>
        <v>#DIV/0!</v>
      </c>
      <c r="O16" s="12"/>
      <c r="P16" s="22" t="str">
        <f>Oletusarvot!B13</f>
        <v>Lasipakkaukset</v>
      </c>
      <c r="Q16" s="93">
        <f>Palvelutasot!H42</f>
        <v>0</v>
      </c>
    </row>
    <row r="17" spans="2:17" ht="15" x14ac:dyDescent="0.25">
      <c r="B17" s="22" t="str">
        <f>Oletusarvot!B14</f>
        <v>Paperi</v>
      </c>
      <c r="C17" s="60">
        <f>Operatiiviset!$L$45</f>
        <v>0</v>
      </c>
      <c r="D17" s="60">
        <f>Käsittely!$G15</f>
        <v>0</v>
      </c>
      <c r="E17" s="215"/>
      <c r="F17" s="215"/>
      <c r="G17" s="53">
        <f t="shared" si="0"/>
        <v>0</v>
      </c>
      <c r="H17" s="53">
        <f t="shared" si="1"/>
        <v>0</v>
      </c>
      <c r="I17" s="53">
        <f t="shared" si="2"/>
        <v>0</v>
      </c>
      <c r="J17" s="53">
        <f t="shared" si="3"/>
        <v>0</v>
      </c>
      <c r="L17" s="22" t="str">
        <f>Oletusarvot!B14</f>
        <v>Paperi</v>
      </c>
      <c r="M17" s="60">
        <f>Käsittely!F15</f>
        <v>0</v>
      </c>
      <c r="N17" s="60" t="e">
        <f t="shared" si="4"/>
        <v>#DIV/0!</v>
      </c>
      <c r="O17" s="12"/>
      <c r="P17" s="22" t="str">
        <f>Oletusarvot!B14</f>
        <v>Paperi</v>
      </c>
      <c r="Q17" s="93">
        <f>Palvelutasot!H43</f>
        <v>0</v>
      </c>
    </row>
    <row r="18" spans="2:17" ht="15" x14ac:dyDescent="0.25">
      <c r="B18" s="31" t="str">
        <f>Oletusarvot!B15</f>
        <v>Muovipakkaukset</v>
      </c>
      <c r="C18" s="67">
        <f>Operatiiviset!$F$51</f>
        <v>0</v>
      </c>
      <c r="D18" s="67">
        <f>Käsittely!$G16</f>
        <v>0</v>
      </c>
      <c r="E18" s="217"/>
      <c r="F18" s="217"/>
      <c r="G18" s="53">
        <f t="shared" si="0"/>
        <v>0</v>
      </c>
      <c r="H18" s="53">
        <f t="shared" si="1"/>
        <v>0</v>
      </c>
      <c r="I18" s="53">
        <f t="shared" si="2"/>
        <v>0</v>
      </c>
      <c r="J18" s="53">
        <f t="shared" si="3"/>
        <v>0</v>
      </c>
      <c r="L18" s="31" t="str">
        <f>Oletusarvot!B15</f>
        <v>Muovipakkaukset</v>
      </c>
      <c r="M18" s="67">
        <f>Käsittely!F16</f>
        <v>0</v>
      </c>
      <c r="N18" s="67" t="e">
        <f t="shared" si="4"/>
        <v>#DIV/0!</v>
      </c>
      <c r="O18" s="12"/>
      <c r="P18" s="31" t="str">
        <f>Oletusarvot!B15</f>
        <v>Muovipakkaukset</v>
      </c>
      <c r="Q18" s="84">
        <f>Palvelutasot!H44</f>
        <v>0</v>
      </c>
    </row>
    <row r="19" spans="2:17" x14ac:dyDescent="0.3">
      <c r="B19" s="22" t="s">
        <v>40</v>
      </c>
      <c r="C19" s="93">
        <f>SUM(C12:C18)</f>
        <v>0</v>
      </c>
      <c r="D19" s="93">
        <f t="shared" ref="D19:I19" si="5">SUM(D12:D18)</f>
        <v>0</v>
      </c>
      <c r="E19" s="22"/>
      <c r="F19" s="22"/>
      <c r="G19" s="1">
        <f t="shared" si="5"/>
        <v>0</v>
      </c>
      <c r="H19" s="54">
        <f>SUM(H12:H18)</f>
        <v>0</v>
      </c>
      <c r="I19" s="1">
        <f t="shared" si="5"/>
        <v>0</v>
      </c>
      <c r="J19" s="1">
        <f>SUM(J13:J18)</f>
        <v>0</v>
      </c>
      <c r="L19" s="32"/>
      <c r="M19" s="32"/>
      <c r="N19" s="32"/>
      <c r="O19" s="12"/>
      <c r="P19" s="22"/>
      <c r="Q19" s="22"/>
    </row>
    <row r="20" spans="2:17" ht="15" x14ac:dyDescent="0.25">
      <c r="L20" s="12"/>
      <c r="M20" s="12"/>
      <c r="N20" s="12"/>
      <c r="O20" s="12"/>
    </row>
    <row r="21" spans="2:17" ht="15" x14ac:dyDescent="0.25">
      <c r="B21" s="120" t="s">
        <v>171</v>
      </c>
      <c r="C21" s="121"/>
      <c r="D21" s="54"/>
      <c r="O21" s="12"/>
    </row>
    <row r="22" spans="2:17" ht="15" x14ac:dyDescent="0.25">
      <c r="B22" s="122" t="s">
        <v>172</v>
      </c>
      <c r="C22" s="28"/>
      <c r="O22" s="12"/>
    </row>
    <row r="23" spans="2:17" ht="30" customHeight="1" x14ac:dyDescent="0.3">
      <c r="B23" s="239" t="s">
        <v>173</v>
      </c>
      <c r="C23" s="240"/>
      <c r="O23" s="12"/>
    </row>
    <row r="24" spans="2:17" ht="15" x14ac:dyDescent="0.25">
      <c r="B24" s="2"/>
      <c r="O24" s="12"/>
    </row>
    <row r="25" spans="2:17" x14ac:dyDescent="0.3">
      <c r="C25" s="1" t="s">
        <v>77</v>
      </c>
      <c r="D25" s="1" t="s">
        <v>70</v>
      </c>
      <c r="G25" s="1" t="s">
        <v>69</v>
      </c>
      <c r="N25" s="12"/>
      <c r="O25" s="12"/>
    </row>
    <row r="26" spans="2:17" x14ac:dyDescent="0.3">
      <c r="B26" s="1" t="s">
        <v>141</v>
      </c>
      <c r="C26" s="207"/>
      <c r="D26" s="63" t="e">
        <f>(G26-C26*(D36))/(0*D29+1*D30+2*D31+3*D32+4*D33+5*D34+6*D35)</f>
        <v>#DIV/0!</v>
      </c>
      <c r="G26" s="63">
        <f>$I$12</f>
        <v>0</v>
      </c>
      <c r="H26" s="12"/>
      <c r="I26" s="12"/>
      <c r="J26" s="12"/>
    </row>
    <row r="27" spans="2:17" ht="15" x14ac:dyDescent="0.25">
      <c r="M27" s="12"/>
    </row>
    <row r="28" spans="2:17" ht="30" customHeight="1" x14ac:dyDescent="0.3">
      <c r="B28" s="33" t="s">
        <v>62</v>
      </c>
      <c r="C28" s="191" t="s">
        <v>143</v>
      </c>
      <c r="D28" s="91" t="s">
        <v>142</v>
      </c>
      <c r="E28" s="91" t="s">
        <v>59</v>
      </c>
    </row>
    <row r="29" spans="2:17" ht="15" x14ac:dyDescent="0.25">
      <c r="B29" s="65">
        <v>1</v>
      </c>
      <c r="C29" s="70" t="e">
        <f t="shared" ref="C29:C35" si="6">$D$26*(B29-1)+$C$26</f>
        <v>#DIV/0!</v>
      </c>
      <c r="D29" s="60">
        <f>Palvelutasot!Q38</f>
        <v>0</v>
      </c>
      <c r="E29" s="60" t="e">
        <f t="shared" ref="E29:E35" si="7">C29*D29</f>
        <v>#DIV/0!</v>
      </c>
    </row>
    <row r="30" spans="2:17" ht="15" x14ac:dyDescent="0.25">
      <c r="B30" s="65">
        <v>2</v>
      </c>
      <c r="C30" s="70" t="e">
        <f t="shared" si="6"/>
        <v>#DIV/0!</v>
      </c>
      <c r="D30" s="60">
        <f>Palvelutasot!Q39</f>
        <v>0</v>
      </c>
      <c r="E30" s="60" t="e">
        <f t="shared" si="7"/>
        <v>#DIV/0!</v>
      </c>
    </row>
    <row r="31" spans="2:17" ht="15" x14ac:dyDescent="0.25">
      <c r="B31" s="65">
        <v>3</v>
      </c>
      <c r="C31" s="70" t="e">
        <f t="shared" si="6"/>
        <v>#DIV/0!</v>
      </c>
      <c r="D31" s="60">
        <f>Palvelutasot!Q40</f>
        <v>0</v>
      </c>
      <c r="E31" s="60" t="e">
        <f t="shared" si="7"/>
        <v>#DIV/0!</v>
      </c>
    </row>
    <row r="32" spans="2:17" ht="15" x14ac:dyDescent="0.25">
      <c r="B32" s="65">
        <v>4</v>
      </c>
      <c r="C32" s="70" t="e">
        <f t="shared" si="6"/>
        <v>#DIV/0!</v>
      </c>
      <c r="D32" s="60">
        <f>Palvelutasot!Q41</f>
        <v>0</v>
      </c>
      <c r="E32" s="60" t="e">
        <f t="shared" si="7"/>
        <v>#DIV/0!</v>
      </c>
    </row>
    <row r="33" spans="2:9" ht="15" x14ac:dyDescent="0.25">
      <c r="B33" s="65">
        <v>5</v>
      </c>
      <c r="C33" s="70" t="e">
        <f t="shared" si="6"/>
        <v>#DIV/0!</v>
      </c>
      <c r="D33" s="60">
        <f>Palvelutasot!Q42</f>
        <v>0</v>
      </c>
      <c r="E33" s="60" t="e">
        <f t="shared" si="7"/>
        <v>#DIV/0!</v>
      </c>
      <c r="H33" s="4"/>
      <c r="I33" s="12"/>
    </row>
    <row r="34" spans="2:9" ht="15" x14ac:dyDescent="0.25">
      <c r="B34" s="65">
        <v>6</v>
      </c>
      <c r="C34" s="70" t="e">
        <f t="shared" si="6"/>
        <v>#DIV/0!</v>
      </c>
      <c r="D34" s="60">
        <f>Palvelutasot!Q43</f>
        <v>0</v>
      </c>
      <c r="E34" s="60" t="e">
        <f t="shared" si="7"/>
        <v>#DIV/0!</v>
      </c>
    </row>
    <row r="35" spans="2:9" x14ac:dyDescent="0.3">
      <c r="B35" s="65">
        <v>7</v>
      </c>
      <c r="C35" s="70" t="e">
        <f t="shared" si="6"/>
        <v>#DIV/0!</v>
      </c>
      <c r="D35" s="66">
        <f>Palvelutasot!Q44</f>
        <v>0</v>
      </c>
      <c r="E35" s="67" t="e">
        <f t="shared" si="7"/>
        <v>#DIV/0!</v>
      </c>
    </row>
    <row r="36" spans="2:9" x14ac:dyDescent="0.3">
      <c r="B36" s="22"/>
      <c r="C36" s="22"/>
      <c r="D36" s="68">
        <f>SUM(D29:D35)</f>
        <v>0</v>
      </c>
      <c r="E36" s="69" t="e">
        <f>SUM(E29:E35)</f>
        <v>#DIV/0!</v>
      </c>
    </row>
    <row r="38" spans="2:9" x14ac:dyDescent="0.3">
      <c r="B38" s="30" t="s">
        <v>63</v>
      </c>
      <c r="C38" s="31"/>
      <c r="D38" s="59"/>
    </row>
    <row r="39" spans="2:9" ht="30.75" customHeight="1" x14ac:dyDescent="0.3">
      <c r="B39" s="119" t="s">
        <v>122</v>
      </c>
      <c r="C39" s="190" t="s">
        <v>212</v>
      </c>
      <c r="D39" s="190" t="s">
        <v>68</v>
      </c>
    </row>
    <row r="40" spans="2:9" x14ac:dyDescent="0.3">
      <c r="B40" s="22" t="str">
        <f>Oletusarvot!B9</f>
        <v>Sekajäte</v>
      </c>
      <c r="C40" s="60">
        <f t="shared" ref="C40:C46" si="8">G12</f>
        <v>0</v>
      </c>
      <c r="D40" s="69" t="e">
        <f>E36</f>
        <v>#DIV/0!</v>
      </c>
      <c r="H40" s="4"/>
      <c r="I40" s="12"/>
    </row>
    <row r="41" spans="2:9" x14ac:dyDescent="0.3">
      <c r="B41" s="22" t="str">
        <f>Oletusarvot!B10</f>
        <v>Biojäte</v>
      </c>
      <c r="C41" s="60">
        <f t="shared" si="8"/>
        <v>0</v>
      </c>
      <c r="D41" s="69">
        <f t="shared" ref="D41:D46" si="9">I13</f>
        <v>0</v>
      </c>
    </row>
    <row r="42" spans="2:9" x14ac:dyDescent="0.3">
      <c r="B42" s="22" t="str">
        <f>Oletusarvot!B11</f>
        <v>Kartonkipakkaukset</v>
      </c>
      <c r="C42" s="60">
        <f t="shared" si="8"/>
        <v>0</v>
      </c>
      <c r="D42" s="69">
        <f t="shared" si="9"/>
        <v>0</v>
      </c>
    </row>
    <row r="43" spans="2:9" x14ac:dyDescent="0.3">
      <c r="B43" s="22" t="str">
        <f>Oletusarvot!B12</f>
        <v>Metalli</v>
      </c>
      <c r="C43" s="60">
        <f t="shared" si="8"/>
        <v>0</v>
      </c>
      <c r="D43" s="69">
        <f t="shared" si="9"/>
        <v>0</v>
      </c>
    </row>
    <row r="44" spans="2:9" x14ac:dyDescent="0.3">
      <c r="B44" s="22" t="str">
        <f>Oletusarvot!B13</f>
        <v>Lasipakkaukset</v>
      </c>
      <c r="C44" s="60">
        <f t="shared" si="8"/>
        <v>0</v>
      </c>
      <c r="D44" s="69">
        <f t="shared" si="9"/>
        <v>0</v>
      </c>
    </row>
    <row r="45" spans="2:9" x14ac:dyDescent="0.3">
      <c r="B45" s="22" t="str">
        <f>Oletusarvot!B14</f>
        <v>Paperi</v>
      </c>
      <c r="C45" s="60">
        <f t="shared" si="8"/>
        <v>0</v>
      </c>
      <c r="D45" s="69">
        <f t="shared" si="9"/>
        <v>0</v>
      </c>
    </row>
    <row r="46" spans="2:9" x14ac:dyDescent="0.3">
      <c r="B46" s="31" t="str">
        <f>Oletusarvot!B15</f>
        <v>Muovipakkaukset</v>
      </c>
      <c r="C46" s="67">
        <f t="shared" si="8"/>
        <v>0</v>
      </c>
      <c r="D46" s="67">
        <f t="shared" si="9"/>
        <v>0</v>
      </c>
    </row>
    <row r="47" spans="2:9" x14ac:dyDescent="0.3">
      <c r="B47" s="22" t="s">
        <v>40</v>
      </c>
      <c r="C47" s="69">
        <f>SUM(C40:C46)</f>
        <v>0</v>
      </c>
      <c r="D47" s="69" t="e">
        <f>SUM(D40:D46)</f>
        <v>#DIV/0!</v>
      </c>
    </row>
    <row r="50" spans="2:8" x14ac:dyDescent="0.3">
      <c r="B50" s="8" t="s">
        <v>80</v>
      </c>
      <c r="C50" s="8"/>
      <c r="H50" s="12"/>
    </row>
    <row r="51" spans="2:8" x14ac:dyDescent="0.3">
      <c r="B51" s="1" t="s">
        <v>78</v>
      </c>
      <c r="C51" s="53">
        <f>$C$19+$D$19</f>
        <v>0</v>
      </c>
      <c r="D51" s="4"/>
      <c r="E51" s="12"/>
      <c r="G51" s="238"/>
      <c r="H51" s="238"/>
    </row>
    <row r="52" spans="2:8" x14ac:dyDescent="0.3">
      <c r="B52" s="8" t="s">
        <v>79</v>
      </c>
      <c r="C52" s="56" t="e">
        <f>C47+D47</f>
        <v>#DIV/0!</v>
      </c>
    </row>
    <row r="53" spans="2:8" x14ac:dyDescent="0.3">
      <c r="B53" s="1" t="s">
        <v>81</v>
      </c>
      <c r="C53" s="58" t="e">
        <f>C52-C51</f>
        <v>#DIV/0!</v>
      </c>
    </row>
    <row r="56" spans="2:8" x14ac:dyDescent="0.3">
      <c r="D56" s="12"/>
    </row>
    <row r="57" spans="2:8" x14ac:dyDescent="0.3">
      <c r="B57" s="1" t="s">
        <v>109</v>
      </c>
      <c r="D57" s="12"/>
    </row>
    <row r="58" spans="2:8" x14ac:dyDescent="0.3">
      <c r="B58" s="25" t="s">
        <v>161</v>
      </c>
      <c r="C58" s="24"/>
      <c r="D58" s="24"/>
      <c r="E58" s="24"/>
      <c r="F58" s="26"/>
    </row>
    <row r="59" spans="2:8" x14ac:dyDescent="0.3">
      <c r="B59" s="27"/>
      <c r="C59" s="12"/>
      <c r="D59" s="12"/>
      <c r="E59" s="12"/>
      <c r="F59" s="28"/>
    </row>
    <row r="60" spans="2:8" x14ac:dyDescent="0.3">
      <c r="B60" s="27" t="s">
        <v>72</v>
      </c>
      <c r="C60" s="12" t="s">
        <v>99</v>
      </c>
      <c r="D60" s="12"/>
      <c r="E60" s="12"/>
      <c r="F60" s="28"/>
    </row>
    <row r="61" spans="2:8" x14ac:dyDescent="0.3">
      <c r="B61" s="27" t="s">
        <v>162</v>
      </c>
      <c r="C61" s="12"/>
      <c r="D61" s="12"/>
      <c r="E61" s="12"/>
      <c r="F61" s="28"/>
    </row>
    <row r="62" spans="2:8" x14ac:dyDescent="0.3">
      <c r="B62" s="27" t="s">
        <v>97</v>
      </c>
      <c r="C62" s="12" t="s">
        <v>98</v>
      </c>
      <c r="D62" s="12"/>
      <c r="E62" s="12"/>
      <c r="F62" s="28"/>
    </row>
    <row r="63" spans="2:8" x14ac:dyDescent="0.3">
      <c r="B63" s="27" t="s">
        <v>71</v>
      </c>
      <c r="C63" s="12" t="s">
        <v>82</v>
      </c>
      <c r="D63" s="12"/>
      <c r="E63" s="12"/>
      <c r="F63" s="28"/>
    </row>
    <row r="64" spans="2:8" x14ac:dyDescent="0.3">
      <c r="B64" s="27" t="s">
        <v>58</v>
      </c>
      <c r="C64" s="12" t="s">
        <v>83</v>
      </c>
      <c r="D64" s="12"/>
      <c r="E64" s="12"/>
      <c r="F64" s="28"/>
    </row>
    <row r="65" spans="2:6" x14ac:dyDescent="0.3">
      <c r="B65" s="55" t="s">
        <v>55</v>
      </c>
      <c r="C65" s="12" t="s">
        <v>84</v>
      </c>
      <c r="D65" s="12"/>
      <c r="E65" s="12"/>
      <c r="F65" s="28"/>
    </row>
    <row r="66" spans="2:6" x14ac:dyDescent="0.3">
      <c r="B66" s="55" t="s">
        <v>55</v>
      </c>
      <c r="C66" s="12" t="s">
        <v>85</v>
      </c>
      <c r="D66" s="12"/>
      <c r="E66" s="12"/>
      <c r="F66" s="28"/>
    </row>
    <row r="67" spans="2:6" x14ac:dyDescent="0.3">
      <c r="B67" s="57" t="s">
        <v>56</v>
      </c>
      <c r="C67" s="8" t="s">
        <v>86</v>
      </c>
      <c r="D67" s="8"/>
      <c r="E67" s="8"/>
      <c r="F67" s="29"/>
    </row>
    <row r="68" spans="2:6" x14ac:dyDescent="0.3">
      <c r="C68" s="12"/>
    </row>
    <row r="69" spans="2:6" x14ac:dyDescent="0.3">
      <c r="C69" s="12"/>
    </row>
  </sheetData>
  <sheetProtection sheet="1" objects="1" scenarios="1"/>
  <mergeCells count="3">
    <mergeCell ref="E10:F10"/>
    <mergeCell ref="G51:H51"/>
    <mergeCell ref="B23:C23"/>
  </mergeCells>
  <conditionalFormatting sqref="C53">
    <cfRule type="cellIs" dxfId="21" priority="1" operator="lessThan">
      <formula>0</formula>
    </cfRule>
    <cfRule type="cellIs" dxfId="20" priority="2" operator="greaterThan">
      <formula>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57"/>
  <sheetViews>
    <sheetView zoomScale="90" zoomScaleNormal="90" workbookViewId="0">
      <selection activeCell="E37" sqref="E37"/>
    </sheetView>
  </sheetViews>
  <sheetFormatPr defaultColWidth="9.109375" defaultRowHeight="14.4" x14ac:dyDescent="0.3"/>
  <cols>
    <col min="1" max="1" width="2.88671875" style="1" customWidth="1"/>
    <col min="2" max="2" width="29.6640625" style="1" customWidth="1"/>
    <col min="3" max="4" width="19.88671875" style="1" bestFit="1" customWidth="1"/>
    <col min="5" max="5" width="20.109375" style="1" customWidth="1"/>
    <col min="6" max="6" width="13.109375" style="1" bestFit="1" customWidth="1"/>
    <col min="7" max="7" width="25.88671875" style="1" hidden="1" customWidth="1"/>
    <col min="8" max="8" width="20" style="1" hidden="1" customWidth="1"/>
    <col min="9" max="9" width="24.5546875" style="1" hidden="1" customWidth="1"/>
    <col min="10" max="10" width="21.5546875" style="1" hidden="1" customWidth="1"/>
    <col min="11" max="11" width="4.5546875" style="1" customWidth="1"/>
    <col min="12" max="12" width="23.44140625" style="1" customWidth="1"/>
    <col min="13" max="13" width="17.6640625" style="1" customWidth="1"/>
    <col min="14" max="14" width="34.88671875" style="1" customWidth="1"/>
    <col min="15" max="15" width="4.88671875" style="1" customWidth="1"/>
    <col min="16" max="16" width="17.5546875" style="1" customWidth="1"/>
    <col min="17" max="16384" width="9.109375" style="1"/>
  </cols>
  <sheetData>
    <row r="1" spans="2:17" ht="21" x14ac:dyDescent="0.4">
      <c r="B1" s="18" t="s">
        <v>119</v>
      </c>
    </row>
    <row r="2" spans="2:17" ht="15" x14ac:dyDescent="0.25">
      <c r="B2" s="2"/>
    </row>
    <row r="3" spans="2:17" ht="15" x14ac:dyDescent="0.25">
      <c r="B3" s="188" t="str">
        <f>Ohje!C170</f>
        <v>Tällä välilehdellä jätelaitos voi itse määrittää sekajätteen palvelutasokohtaiset hinnat. Solussa M18 näet, miten tulot uusilla hinnoilla kattavat kustannukset.</v>
      </c>
      <c r="C3" s="188"/>
      <c r="D3" s="188"/>
      <c r="E3" s="187"/>
      <c r="F3" s="187"/>
      <c r="G3" s="187"/>
      <c r="H3" s="187"/>
      <c r="I3" s="187"/>
      <c r="J3" s="187"/>
      <c r="K3" s="187"/>
      <c r="L3" s="187"/>
      <c r="M3" s="187"/>
      <c r="N3" s="187"/>
    </row>
    <row r="4" spans="2:17" ht="15" x14ac:dyDescent="0.25">
      <c r="B4" s="188" t="str">
        <f>Ohje!C171</f>
        <v>Välilehdelle tuodaan kustannustiedot muilta välilehdiltä, ja subventioasteen avulla voi syöttää sekajätteelle uudet palvelutasokohtaiset hinnat.</v>
      </c>
      <c r="C4" s="187"/>
      <c r="D4" s="187"/>
      <c r="E4" s="187"/>
      <c r="F4" s="187"/>
      <c r="G4" s="187"/>
      <c r="H4" s="187"/>
      <c r="I4" s="187"/>
      <c r="J4" s="187"/>
      <c r="K4" s="187"/>
      <c r="L4" s="187"/>
      <c r="M4" s="187"/>
      <c r="N4" s="187"/>
    </row>
    <row r="5" spans="2:17" ht="15" x14ac:dyDescent="0.25">
      <c r="B5" s="188" t="str">
        <f>Ohje!C172</f>
        <v>1. Syöttäkää kierrätettävien jätelajien subventioasteet prosentteina 0-100 %. Subventioaste määrittää miten paljon kierrätettävän jätelajin kustannuksista katetaan sekajätteen hinnalla.</v>
      </c>
      <c r="C5" s="187"/>
      <c r="D5" s="187"/>
      <c r="E5" s="187"/>
      <c r="F5" s="187"/>
      <c r="G5" s="187"/>
      <c r="H5" s="187"/>
      <c r="I5" s="187"/>
      <c r="J5" s="187"/>
      <c r="K5" s="187"/>
      <c r="L5" s="187"/>
      <c r="M5" s="187"/>
      <c r="N5" s="187"/>
    </row>
    <row r="6" spans="2:17" ht="15" x14ac:dyDescent="0.25">
      <c r="B6" s="188" t="str">
        <f>Ohje!C173</f>
        <v xml:space="preserve">    Keräystä ja kuljetusta, sekä käsittelyä voi subventoida, mutta jos kierrätettävien lajien käsittely on jo 0 €, subventiolla ei ole merkitystä. </v>
      </c>
      <c r="C6" s="187"/>
      <c r="D6" s="187"/>
      <c r="E6" s="187"/>
      <c r="F6" s="187"/>
      <c r="G6" s="187"/>
      <c r="H6" s="187"/>
      <c r="I6" s="187"/>
      <c r="J6" s="187"/>
      <c r="K6" s="187"/>
      <c r="L6" s="187"/>
      <c r="M6" s="187"/>
      <c r="N6" s="187"/>
    </row>
    <row r="7" spans="2:17" ht="15" x14ac:dyDescent="0.25">
      <c r="B7" s="188" t="str">
        <f>Ohje!C174</f>
        <v>2. Soluihin C24-C30 jätelaitos voi syöttää omia €/t-hintoja sekajätteelle, ja tarkistaa jos kulut kattavat menot valitsemillaan hinnoilla.</v>
      </c>
      <c r="C7" s="187"/>
      <c r="D7" s="187"/>
      <c r="E7" s="187"/>
      <c r="F7" s="187"/>
      <c r="G7" s="187"/>
      <c r="H7" s="187"/>
      <c r="I7" s="187"/>
      <c r="J7" s="187"/>
      <c r="K7" s="187"/>
      <c r="L7" s="187"/>
      <c r="M7" s="187"/>
      <c r="N7" s="187"/>
    </row>
    <row r="8" spans="2:17" ht="15" x14ac:dyDescent="0.25">
      <c r="B8" s="188" t="str">
        <f>Ohje!C175</f>
        <v xml:space="preserve">    Solussa M26 näkyy balanssi, joka kertoo, kun tulot eivät kata menoja tai päinvastoin.</v>
      </c>
      <c r="C8" s="187"/>
      <c r="D8" s="187"/>
      <c r="E8" s="187"/>
      <c r="F8" s="187"/>
      <c r="G8" s="187"/>
      <c r="H8" s="187"/>
      <c r="I8" s="187"/>
      <c r="J8" s="187"/>
      <c r="K8" s="187"/>
      <c r="L8" s="187"/>
      <c r="M8" s="187"/>
      <c r="N8" s="187"/>
    </row>
    <row r="9" spans="2:17" ht="15" x14ac:dyDescent="0.25">
      <c r="B9" s="115"/>
      <c r="C9" s="115"/>
      <c r="D9" s="115"/>
    </row>
    <row r="10" spans="2:17" ht="15" x14ac:dyDescent="0.25">
      <c r="B10" s="111"/>
    </row>
    <row r="11" spans="2:17" x14ac:dyDescent="0.3">
      <c r="B11" s="30" t="s">
        <v>87</v>
      </c>
      <c r="C11" s="30" t="s">
        <v>53</v>
      </c>
      <c r="D11" s="30"/>
      <c r="E11" s="234" t="s">
        <v>175</v>
      </c>
      <c r="F11" s="234"/>
      <c r="G11" s="23" t="s">
        <v>54</v>
      </c>
      <c r="H11" s="23"/>
      <c r="I11" s="23"/>
      <c r="J11" s="8"/>
      <c r="L11" s="30" t="s">
        <v>61</v>
      </c>
      <c r="M11" s="59"/>
      <c r="N11" s="59"/>
      <c r="P11" s="30" t="s">
        <v>40</v>
      </c>
      <c r="Q11" s="30"/>
    </row>
    <row r="12" spans="2:17" ht="28.8" x14ac:dyDescent="0.3">
      <c r="B12" s="119" t="s">
        <v>122</v>
      </c>
      <c r="C12" s="190" t="s">
        <v>212</v>
      </c>
      <c r="D12" s="190" t="s">
        <v>68</v>
      </c>
      <c r="E12" s="190" t="s">
        <v>213</v>
      </c>
      <c r="F12" s="189" t="s">
        <v>88</v>
      </c>
      <c r="G12" s="12" t="s">
        <v>73</v>
      </c>
      <c r="H12" s="1" t="s">
        <v>75</v>
      </c>
      <c r="I12" s="12" t="s">
        <v>74</v>
      </c>
      <c r="J12" s="1" t="s">
        <v>76</v>
      </c>
      <c r="L12" s="119" t="s">
        <v>122</v>
      </c>
      <c r="M12" s="91" t="s">
        <v>176</v>
      </c>
      <c r="N12" s="91" t="s">
        <v>187</v>
      </c>
      <c r="P12" s="119" t="s">
        <v>122</v>
      </c>
      <c r="Q12" s="90" t="s">
        <v>135</v>
      </c>
    </row>
    <row r="13" spans="2:17" x14ac:dyDescent="0.3">
      <c r="B13" s="22" t="str">
        <f>Oletusarvot!B9</f>
        <v>Sekajäte</v>
      </c>
      <c r="C13" s="60">
        <f>Operatiiviset!$F$26</f>
        <v>0</v>
      </c>
      <c r="D13" s="60">
        <f>Käsittely!$G$10</f>
        <v>0</v>
      </c>
      <c r="E13" s="22"/>
      <c r="F13" s="22"/>
      <c r="G13" s="53">
        <f>C13</f>
        <v>0</v>
      </c>
      <c r="H13" s="53"/>
      <c r="I13" s="53">
        <f>D13+H20+J20</f>
        <v>0</v>
      </c>
      <c r="J13" s="53"/>
      <c r="L13" s="206" t="str">
        <f>Oletusarvot!B9</f>
        <v>Sekajäte</v>
      </c>
      <c r="M13" s="60">
        <f>Käsittely!F10</f>
        <v>0</v>
      </c>
      <c r="N13" s="61" t="s">
        <v>60</v>
      </c>
      <c r="O13" s="12"/>
      <c r="P13" s="206" t="str">
        <f>Oletusarvot!B9</f>
        <v>Sekajäte</v>
      </c>
      <c r="Q13" s="93">
        <f>Palvelutasot!H38</f>
        <v>0</v>
      </c>
    </row>
    <row r="14" spans="2:17" ht="15" x14ac:dyDescent="0.25">
      <c r="B14" s="22" t="str">
        <f>Oletusarvot!B10</f>
        <v>Biojäte</v>
      </c>
      <c r="C14" s="60">
        <f>Operatiiviset!$L$26</f>
        <v>0</v>
      </c>
      <c r="D14" s="60">
        <f>Käsittely!$G11</f>
        <v>0</v>
      </c>
      <c r="E14" s="215"/>
      <c r="F14" s="215"/>
      <c r="G14" s="53">
        <f t="shared" ref="G14:G19" si="0">(1-E14)*C14</f>
        <v>0</v>
      </c>
      <c r="H14" s="53">
        <f t="shared" ref="H14:H19" si="1">E14*C14</f>
        <v>0</v>
      </c>
      <c r="I14" s="53">
        <f t="shared" ref="I14:I19" si="2">(1-F14)*D14</f>
        <v>0</v>
      </c>
      <c r="J14" s="53">
        <f t="shared" ref="J14:J19" si="3">F14*D14</f>
        <v>0</v>
      </c>
      <c r="L14" s="32" t="str">
        <f>Oletusarvot!B10</f>
        <v>Biojäte</v>
      </c>
      <c r="M14" s="60">
        <f>Käsittely!F11</f>
        <v>0</v>
      </c>
      <c r="N14" s="60" t="e">
        <f t="shared" ref="N14:N19" si="4">I14/Q14</f>
        <v>#DIV/0!</v>
      </c>
      <c r="O14" s="12"/>
      <c r="P14" s="32" t="str">
        <f>Oletusarvot!B10</f>
        <v>Biojäte</v>
      </c>
      <c r="Q14" s="93">
        <f>Palvelutasot!H39</f>
        <v>0</v>
      </c>
    </row>
    <row r="15" spans="2:17" ht="15" x14ac:dyDescent="0.25">
      <c r="B15" s="22" t="str">
        <f>Oletusarvot!B11</f>
        <v>Kartonkipakkaukset</v>
      </c>
      <c r="C15" s="60">
        <f>Operatiiviset!$F$45</f>
        <v>0</v>
      </c>
      <c r="D15" s="60">
        <f>Käsittely!$G12</f>
        <v>0</v>
      </c>
      <c r="E15" s="215"/>
      <c r="F15" s="216"/>
      <c r="G15" s="53">
        <f t="shared" si="0"/>
        <v>0</v>
      </c>
      <c r="H15" s="53">
        <f t="shared" si="1"/>
        <v>0</v>
      </c>
      <c r="I15" s="53">
        <f t="shared" si="2"/>
        <v>0</v>
      </c>
      <c r="J15" s="53">
        <f t="shared" si="3"/>
        <v>0</v>
      </c>
      <c r="L15" s="32" t="str">
        <f>Oletusarvot!B11</f>
        <v>Kartonkipakkaukset</v>
      </c>
      <c r="M15" s="60">
        <f>Käsittely!F12</f>
        <v>0</v>
      </c>
      <c r="N15" s="60" t="e">
        <f t="shared" si="4"/>
        <v>#DIV/0!</v>
      </c>
      <c r="O15" s="12"/>
      <c r="P15" s="32" t="str">
        <f>Oletusarvot!B11</f>
        <v>Kartonkipakkaukset</v>
      </c>
      <c r="Q15" s="93">
        <f>Palvelutasot!H40</f>
        <v>0</v>
      </c>
    </row>
    <row r="16" spans="2:17" ht="15" x14ac:dyDescent="0.25">
      <c r="B16" s="22" t="str">
        <f>Oletusarvot!B12</f>
        <v>Metalli</v>
      </c>
      <c r="C16" s="60">
        <f>Operatiiviset!$L$36</f>
        <v>0</v>
      </c>
      <c r="D16" s="60">
        <f>Käsittely!$G13</f>
        <v>0</v>
      </c>
      <c r="E16" s="215"/>
      <c r="F16" s="215"/>
      <c r="G16" s="53">
        <f t="shared" si="0"/>
        <v>0</v>
      </c>
      <c r="H16" s="53">
        <f t="shared" si="1"/>
        <v>0</v>
      </c>
      <c r="I16" s="53">
        <f t="shared" si="2"/>
        <v>0</v>
      </c>
      <c r="J16" s="53">
        <f t="shared" si="3"/>
        <v>0</v>
      </c>
      <c r="L16" s="32" t="str">
        <f>Oletusarvot!B12</f>
        <v>Metalli</v>
      </c>
      <c r="M16" s="60">
        <f>Käsittely!F13</f>
        <v>0</v>
      </c>
      <c r="N16" s="60" t="e">
        <f t="shared" si="4"/>
        <v>#DIV/0!</v>
      </c>
      <c r="O16" s="12"/>
      <c r="P16" s="32" t="str">
        <f>Oletusarvot!B12</f>
        <v>Metalli</v>
      </c>
      <c r="Q16" s="93">
        <f>Palvelutasot!H41</f>
        <v>0</v>
      </c>
    </row>
    <row r="17" spans="2:18" ht="15" x14ac:dyDescent="0.25">
      <c r="B17" s="22" t="str">
        <f>Oletusarvot!B13</f>
        <v>Lasipakkaukset</v>
      </c>
      <c r="C17" s="60">
        <f>Operatiiviset!$F$36</f>
        <v>0</v>
      </c>
      <c r="D17" s="60">
        <f>Käsittely!$G14</f>
        <v>0</v>
      </c>
      <c r="E17" s="215"/>
      <c r="F17" s="215"/>
      <c r="G17" s="53">
        <f t="shared" si="0"/>
        <v>0</v>
      </c>
      <c r="H17" s="53">
        <f t="shared" si="1"/>
        <v>0</v>
      </c>
      <c r="I17" s="53">
        <f t="shared" si="2"/>
        <v>0</v>
      </c>
      <c r="J17" s="53">
        <f t="shared" si="3"/>
        <v>0</v>
      </c>
      <c r="L17" s="32" t="str">
        <f>Oletusarvot!B13</f>
        <v>Lasipakkaukset</v>
      </c>
      <c r="M17" s="60">
        <f>Käsittely!F14</f>
        <v>0</v>
      </c>
      <c r="N17" s="60" t="e">
        <f t="shared" si="4"/>
        <v>#DIV/0!</v>
      </c>
      <c r="O17" s="12"/>
      <c r="P17" s="32" t="str">
        <f>Oletusarvot!B13</f>
        <v>Lasipakkaukset</v>
      </c>
      <c r="Q17" s="93">
        <f>Palvelutasot!H42</f>
        <v>0</v>
      </c>
    </row>
    <row r="18" spans="2:18" ht="15" x14ac:dyDescent="0.25">
      <c r="B18" s="22" t="str">
        <f>Oletusarvot!B14</f>
        <v>Paperi</v>
      </c>
      <c r="C18" s="60">
        <f>Operatiiviset!$L$45</f>
        <v>0</v>
      </c>
      <c r="D18" s="60">
        <f>Käsittely!$G15</f>
        <v>0</v>
      </c>
      <c r="E18" s="215"/>
      <c r="F18" s="215"/>
      <c r="G18" s="53">
        <f t="shared" si="0"/>
        <v>0</v>
      </c>
      <c r="H18" s="53">
        <f t="shared" si="1"/>
        <v>0</v>
      </c>
      <c r="I18" s="53">
        <f t="shared" si="2"/>
        <v>0</v>
      </c>
      <c r="J18" s="53">
        <f t="shared" si="3"/>
        <v>0</v>
      </c>
      <c r="L18" s="32" t="str">
        <f>Oletusarvot!B14</f>
        <v>Paperi</v>
      </c>
      <c r="M18" s="60">
        <f>Käsittely!F15</f>
        <v>0</v>
      </c>
      <c r="N18" s="60" t="e">
        <f t="shared" si="4"/>
        <v>#DIV/0!</v>
      </c>
      <c r="O18" s="12"/>
      <c r="P18" s="32" t="str">
        <f>Oletusarvot!B14</f>
        <v>Paperi</v>
      </c>
      <c r="Q18" s="93">
        <f>Palvelutasot!H43</f>
        <v>0</v>
      </c>
    </row>
    <row r="19" spans="2:18" ht="15" x14ac:dyDescent="0.25">
      <c r="B19" s="31" t="str">
        <f>Oletusarvot!B15</f>
        <v>Muovipakkaukset</v>
      </c>
      <c r="C19" s="67">
        <f>Operatiiviset!$F$51</f>
        <v>0</v>
      </c>
      <c r="D19" s="67">
        <f>Käsittely!$G16</f>
        <v>0</v>
      </c>
      <c r="E19" s="217"/>
      <c r="F19" s="217"/>
      <c r="G19" s="56">
        <f t="shared" si="0"/>
        <v>0</v>
      </c>
      <c r="H19" s="56">
        <f t="shared" si="1"/>
        <v>0</v>
      </c>
      <c r="I19" s="56">
        <f t="shared" si="2"/>
        <v>0</v>
      </c>
      <c r="J19" s="56">
        <f t="shared" si="3"/>
        <v>0</v>
      </c>
      <c r="L19" s="31" t="str">
        <f>Oletusarvot!B15</f>
        <v>Muovipakkaukset</v>
      </c>
      <c r="M19" s="67">
        <f>Käsittely!F16</f>
        <v>0</v>
      </c>
      <c r="N19" s="67" t="e">
        <f t="shared" si="4"/>
        <v>#DIV/0!</v>
      </c>
      <c r="O19" s="12"/>
      <c r="P19" s="31" t="str">
        <f>Oletusarvot!B15</f>
        <v>Muovipakkaukset</v>
      </c>
      <c r="Q19" s="84">
        <f>Palvelutasot!H44</f>
        <v>0</v>
      </c>
    </row>
    <row r="20" spans="2:18" ht="15" x14ac:dyDescent="0.25">
      <c r="B20" s="22"/>
      <c r="C20" s="93">
        <f>SUM(C13:C19)</f>
        <v>0</v>
      </c>
      <c r="D20" s="93">
        <f t="shared" ref="D20:I20" si="5">SUM(D13:D19)</f>
        <v>0</v>
      </c>
      <c r="E20" s="22"/>
      <c r="F20" s="22"/>
      <c r="G20" s="95">
        <f t="shared" si="5"/>
        <v>0</v>
      </c>
      <c r="H20" s="95">
        <f>SUM(H13:H19)</f>
        <v>0</v>
      </c>
      <c r="I20" s="95">
        <f t="shared" si="5"/>
        <v>0</v>
      </c>
      <c r="J20" s="95">
        <f>SUM(J14:J19)</f>
        <v>0</v>
      </c>
      <c r="L20" s="32"/>
      <c r="M20" s="32"/>
      <c r="N20" s="32"/>
      <c r="O20" s="12"/>
      <c r="P20" s="22"/>
      <c r="Q20" s="22"/>
    </row>
    <row r="21" spans="2:18" ht="15" x14ac:dyDescent="0.25">
      <c r="L21" s="12"/>
      <c r="M21" s="12"/>
      <c r="N21" s="12"/>
      <c r="O21" s="12"/>
    </row>
    <row r="22" spans="2:18" ht="15" x14ac:dyDescent="0.25">
      <c r="M22" s="12"/>
      <c r="N22" s="220"/>
      <c r="O22" s="220"/>
      <c r="P22" s="220"/>
      <c r="Q22" s="220"/>
      <c r="R22" s="220"/>
    </row>
    <row r="23" spans="2:18" ht="30" customHeight="1" x14ac:dyDescent="0.3">
      <c r="B23" s="30" t="s">
        <v>62</v>
      </c>
      <c r="C23" s="91" t="s">
        <v>144</v>
      </c>
      <c r="D23" s="91" t="s">
        <v>142</v>
      </c>
      <c r="E23" s="91" t="s">
        <v>59</v>
      </c>
      <c r="G23" s="100"/>
      <c r="H23" s="12"/>
      <c r="L23" s="117" t="s">
        <v>208</v>
      </c>
      <c r="M23" s="31"/>
      <c r="N23" s="220"/>
      <c r="O23" s="220"/>
      <c r="P23" s="220"/>
      <c r="Q23" s="220"/>
      <c r="R23" s="220"/>
    </row>
    <row r="24" spans="2:18" ht="15" x14ac:dyDescent="0.25">
      <c r="B24" s="113">
        <v>1</v>
      </c>
      <c r="C24" s="218"/>
      <c r="D24" s="60">
        <f>Palvelutasot!Q38</f>
        <v>0</v>
      </c>
      <c r="E24" s="60">
        <f t="shared" ref="E24:E30" si="6">C24*D24</f>
        <v>0</v>
      </c>
      <c r="G24" s="12"/>
      <c r="H24" s="53"/>
      <c r="L24" s="32" t="s">
        <v>152</v>
      </c>
      <c r="M24" s="60">
        <f>$C$42+$D$42</f>
        <v>0</v>
      </c>
      <c r="N24" s="220"/>
      <c r="O24" s="220"/>
      <c r="P24" s="220"/>
      <c r="Q24" s="220"/>
      <c r="R24" s="220"/>
    </row>
    <row r="25" spans="2:18" ht="15" x14ac:dyDescent="0.25">
      <c r="B25" s="65">
        <v>2</v>
      </c>
      <c r="C25" s="219"/>
      <c r="D25" s="60">
        <f>Palvelutasot!Q39</f>
        <v>0</v>
      </c>
      <c r="E25" s="60">
        <f t="shared" si="6"/>
        <v>0</v>
      </c>
      <c r="G25" s="12"/>
      <c r="H25" s="53"/>
      <c r="L25" s="31" t="s">
        <v>153</v>
      </c>
      <c r="M25" s="67">
        <f>$C$20+$D$20</f>
        <v>0</v>
      </c>
      <c r="N25" s="220"/>
      <c r="O25" s="220"/>
      <c r="P25" s="220"/>
      <c r="Q25" s="220"/>
      <c r="R25" s="220"/>
    </row>
    <row r="26" spans="2:18" ht="15" x14ac:dyDescent="0.25">
      <c r="B26" s="65">
        <v>3</v>
      </c>
      <c r="C26" s="219"/>
      <c r="D26" s="60">
        <f>Palvelutasot!Q40</f>
        <v>0</v>
      </c>
      <c r="E26" s="60">
        <f t="shared" si="6"/>
        <v>0</v>
      </c>
      <c r="G26" s="12"/>
      <c r="H26" s="53"/>
      <c r="L26" s="22" t="s">
        <v>113</v>
      </c>
      <c r="M26" s="116">
        <f>M24-M25</f>
        <v>0</v>
      </c>
      <c r="N26" s="220"/>
      <c r="O26" s="220"/>
      <c r="P26" s="220"/>
      <c r="Q26" s="220"/>
      <c r="R26" s="220"/>
    </row>
    <row r="27" spans="2:18" ht="15" x14ac:dyDescent="0.25">
      <c r="B27" s="65">
        <v>4</v>
      </c>
      <c r="C27" s="219"/>
      <c r="D27" s="60">
        <f>Palvelutasot!Q41</f>
        <v>0</v>
      </c>
      <c r="E27" s="60">
        <f t="shared" si="6"/>
        <v>0</v>
      </c>
      <c r="N27" s="220"/>
      <c r="O27" s="220"/>
      <c r="P27" s="220"/>
      <c r="Q27" s="220"/>
      <c r="R27" s="220"/>
    </row>
    <row r="28" spans="2:18" ht="15" customHeight="1" x14ac:dyDescent="0.3">
      <c r="B28" s="65">
        <v>5</v>
      </c>
      <c r="C28" s="219"/>
      <c r="D28" s="60">
        <f>Palvelutasot!Q42</f>
        <v>0</v>
      </c>
      <c r="E28" s="60">
        <f t="shared" si="6"/>
        <v>0</v>
      </c>
      <c r="H28" s="4"/>
      <c r="I28" s="12"/>
      <c r="L28" s="241" t="str">
        <f>IF(M26&lt;0, "Tulot eivät kata kustannuksia", "Tulot kattavat kustannukset")</f>
        <v>Tulot kattavat kustannukset</v>
      </c>
      <c r="M28" s="242"/>
      <c r="N28" s="220"/>
      <c r="O28" s="220"/>
      <c r="P28" s="220"/>
      <c r="Q28" s="220"/>
      <c r="R28" s="220"/>
    </row>
    <row r="29" spans="2:18" ht="15" customHeight="1" x14ac:dyDescent="0.3">
      <c r="B29" s="65">
        <v>6</v>
      </c>
      <c r="C29" s="219"/>
      <c r="D29" s="60">
        <f>Palvelutasot!Q43</f>
        <v>0</v>
      </c>
      <c r="E29" s="60">
        <f t="shared" si="6"/>
        <v>0</v>
      </c>
      <c r="L29" s="243"/>
      <c r="M29" s="244"/>
      <c r="N29" s="220"/>
      <c r="O29" s="220"/>
      <c r="P29" s="220"/>
      <c r="Q29" s="220"/>
      <c r="R29" s="220"/>
    </row>
    <row r="30" spans="2:18" ht="15" x14ac:dyDescent="0.25">
      <c r="B30" s="65">
        <v>7</v>
      </c>
      <c r="C30" s="219"/>
      <c r="D30" s="66">
        <f>Palvelutasot!Q44</f>
        <v>0</v>
      </c>
      <c r="E30" s="67">
        <f t="shared" si="6"/>
        <v>0</v>
      </c>
      <c r="N30" s="220"/>
      <c r="O30" s="220"/>
      <c r="P30" s="220"/>
      <c r="Q30" s="220"/>
      <c r="R30" s="220"/>
    </row>
    <row r="31" spans="2:18" ht="15" x14ac:dyDescent="0.25">
      <c r="B31" s="22"/>
      <c r="C31" s="22"/>
      <c r="D31" s="68">
        <f>SUM(D24:D30)</f>
        <v>0</v>
      </c>
      <c r="E31" s="69">
        <f>SUM(E24:E30)</f>
        <v>0</v>
      </c>
      <c r="N31" s="220"/>
      <c r="O31" s="220"/>
      <c r="P31" s="220"/>
      <c r="Q31" s="220"/>
      <c r="R31" s="220"/>
    </row>
    <row r="32" spans="2:18" x14ac:dyDescent="0.3">
      <c r="N32" s="220"/>
      <c r="O32" s="220"/>
      <c r="P32" s="220"/>
      <c r="Q32" s="220"/>
      <c r="R32" s="220"/>
    </row>
    <row r="33" spans="2:18" x14ac:dyDescent="0.3">
      <c r="B33" s="30" t="s">
        <v>63</v>
      </c>
      <c r="C33" s="31"/>
      <c r="D33" s="59"/>
      <c r="N33" s="220"/>
      <c r="O33" s="220"/>
      <c r="P33" s="220"/>
      <c r="Q33" s="220"/>
      <c r="R33" s="220"/>
    </row>
    <row r="34" spans="2:18" x14ac:dyDescent="0.3">
      <c r="B34" s="119" t="s">
        <v>122</v>
      </c>
      <c r="C34" s="119" t="s">
        <v>212</v>
      </c>
      <c r="D34" s="119" t="s">
        <v>68</v>
      </c>
      <c r="N34" s="220"/>
      <c r="O34" s="220"/>
      <c r="P34" s="220"/>
      <c r="Q34" s="220"/>
      <c r="R34" s="220"/>
    </row>
    <row r="35" spans="2:18" x14ac:dyDescent="0.3">
      <c r="B35" s="206" t="str">
        <f>Oletusarvot!B9</f>
        <v>Sekajäte</v>
      </c>
      <c r="C35" s="60">
        <f t="shared" ref="C35:C41" si="7">G13</f>
        <v>0</v>
      </c>
      <c r="D35" s="69">
        <f>E31</f>
        <v>0</v>
      </c>
      <c r="H35" s="4"/>
      <c r="I35" s="12"/>
      <c r="N35" s="220"/>
      <c r="O35" s="220"/>
      <c r="P35" s="220"/>
      <c r="Q35" s="220"/>
      <c r="R35" s="220"/>
    </row>
    <row r="36" spans="2:18" x14ac:dyDescent="0.3">
      <c r="B36" s="32" t="str">
        <f>Oletusarvot!B10</f>
        <v>Biojäte</v>
      </c>
      <c r="C36" s="60">
        <f t="shared" si="7"/>
        <v>0</v>
      </c>
      <c r="D36" s="69">
        <f t="shared" ref="D36:D41" si="8">I14</f>
        <v>0</v>
      </c>
      <c r="N36" s="220"/>
      <c r="O36" s="220"/>
      <c r="P36" s="220"/>
      <c r="Q36" s="220"/>
      <c r="R36" s="220"/>
    </row>
    <row r="37" spans="2:18" x14ac:dyDescent="0.3">
      <c r="B37" s="32" t="str">
        <f>Oletusarvot!B11</f>
        <v>Kartonkipakkaukset</v>
      </c>
      <c r="C37" s="60">
        <f t="shared" si="7"/>
        <v>0</v>
      </c>
      <c r="D37" s="69">
        <f t="shared" si="8"/>
        <v>0</v>
      </c>
      <c r="N37" s="220"/>
      <c r="O37" s="220"/>
      <c r="P37" s="220"/>
      <c r="Q37" s="220"/>
      <c r="R37" s="220"/>
    </row>
    <row r="38" spans="2:18" x14ac:dyDescent="0.3">
      <c r="B38" s="32" t="str">
        <f>Oletusarvot!B12</f>
        <v>Metalli</v>
      </c>
      <c r="C38" s="60">
        <f t="shared" si="7"/>
        <v>0</v>
      </c>
      <c r="D38" s="69">
        <f t="shared" si="8"/>
        <v>0</v>
      </c>
    </row>
    <row r="39" spans="2:18" x14ac:dyDescent="0.3">
      <c r="B39" s="32" t="str">
        <f>Oletusarvot!B13</f>
        <v>Lasipakkaukset</v>
      </c>
      <c r="C39" s="60">
        <f t="shared" si="7"/>
        <v>0</v>
      </c>
      <c r="D39" s="69">
        <f t="shared" si="8"/>
        <v>0</v>
      </c>
    </row>
    <row r="40" spans="2:18" x14ac:dyDescent="0.3">
      <c r="B40" s="32" t="str">
        <f>Oletusarvot!B14</f>
        <v>Paperi</v>
      </c>
      <c r="C40" s="60">
        <f t="shared" si="7"/>
        <v>0</v>
      </c>
      <c r="D40" s="69">
        <f t="shared" si="8"/>
        <v>0</v>
      </c>
    </row>
    <row r="41" spans="2:18" x14ac:dyDescent="0.3">
      <c r="B41" s="31" t="str">
        <f>Oletusarvot!B15</f>
        <v>Muovipakkaukset</v>
      </c>
      <c r="C41" s="67">
        <f t="shared" si="7"/>
        <v>0</v>
      </c>
      <c r="D41" s="67">
        <f t="shared" si="8"/>
        <v>0</v>
      </c>
    </row>
    <row r="42" spans="2:18" x14ac:dyDescent="0.3">
      <c r="B42" s="22" t="s">
        <v>40</v>
      </c>
      <c r="C42" s="69">
        <f>SUM(C35:C41)</f>
        <v>0</v>
      </c>
      <c r="D42" s="69">
        <f>SUM(D35:D41)</f>
        <v>0</v>
      </c>
    </row>
    <row r="46" spans="2:18" x14ac:dyDescent="0.3">
      <c r="B46" s="12"/>
      <c r="C46" s="12"/>
      <c r="D46" s="12"/>
      <c r="E46" s="12"/>
      <c r="F46" s="12"/>
      <c r="G46" s="12"/>
      <c r="H46" s="12"/>
      <c r="I46" s="12"/>
      <c r="J46" s="12"/>
      <c r="K46" s="12"/>
      <c r="L46" s="12"/>
    </row>
    <row r="47" spans="2:18" x14ac:dyDescent="0.3">
      <c r="B47" s="12"/>
      <c r="C47" s="12"/>
      <c r="D47" s="12"/>
      <c r="E47" s="12"/>
      <c r="F47" s="12"/>
      <c r="G47" s="12"/>
      <c r="H47" s="12"/>
      <c r="I47" s="12"/>
      <c r="J47" s="12"/>
      <c r="K47" s="12"/>
      <c r="L47" s="12"/>
    </row>
    <row r="48" spans="2:18" x14ac:dyDescent="0.3">
      <c r="B48" s="12"/>
      <c r="C48" s="12"/>
      <c r="D48" s="12"/>
      <c r="E48" s="12"/>
      <c r="F48" s="12"/>
      <c r="G48" s="12"/>
      <c r="H48" s="12"/>
      <c r="I48" s="12"/>
      <c r="J48" s="12"/>
      <c r="K48" s="12"/>
      <c r="L48" s="12"/>
    </row>
    <row r="49" spans="2:12" x14ac:dyDescent="0.3">
      <c r="B49" s="12"/>
      <c r="C49" s="12"/>
      <c r="D49" s="12"/>
      <c r="E49" s="12"/>
      <c r="F49" s="12"/>
      <c r="G49" s="12"/>
      <c r="H49" s="12"/>
      <c r="I49" s="12"/>
      <c r="J49" s="12"/>
      <c r="K49" s="12"/>
      <c r="L49" s="12"/>
    </row>
    <row r="50" spans="2:12" x14ac:dyDescent="0.3">
      <c r="B50" s="12"/>
      <c r="C50" s="12"/>
      <c r="D50" s="12"/>
      <c r="E50" s="12"/>
      <c r="F50" s="12"/>
      <c r="G50" s="12"/>
      <c r="H50" s="12"/>
      <c r="I50" s="12"/>
      <c r="J50" s="12"/>
      <c r="K50" s="12"/>
      <c r="L50" s="12"/>
    </row>
    <row r="51" spans="2:12" x14ac:dyDescent="0.3">
      <c r="B51" s="12"/>
      <c r="C51" s="12"/>
      <c r="D51" s="12"/>
      <c r="E51" s="12"/>
      <c r="F51" s="12"/>
      <c r="G51" s="12"/>
      <c r="H51" s="12"/>
      <c r="I51" s="12"/>
      <c r="J51" s="12"/>
      <c r="K51" s="12"/>
      <c r="L51" s="12"/>
    </row>
    <row r="52" spans="2:12" x14ac:dyDescent="0.3">
      <c r="B52" s="12"/>
      <c r="C52" s="12"/>
      <c r="D52" s="12"/>
      <c r="E52" s="12"/>
      <c r="F52" s="12"/>
      <c r="G52" s="12"/>
      <c r="H52" s="12"/>
      <c r="I52" s="12"/>
      <c r="J52" s="12"/>
      <c r="K52" s="12"/>
      <c r="L52" s="12"/>
    </row>
    <row r="53" spans="2:12" x14ac:dyDescent="0.3">
      <c r="B53" s="114"/>
      <c r="C53" s="12"/>
      <c r="D53" s="12"/>
      <c r="E53" s="12"/>
      <c r="F53" s="12"/>
      <c r="G53" s="12"/>
      <c r="H53" s="12"/>
      <c r="I53" s="12"/>
      <c r="J53" s="12"/>
      <c r="K53" s="12"/>
      <c r="L53" s="12"/>
    </row>
    <row r="54" spans="2:12" x14ac:dyDescent="0.3">
      <c r="B54" s="114"/>
      <c r="C54" s="12"/>
      <c r="D54" s="12"/>
      <c r="E54" s="12"/>
      <c r="F54" s="12"/>
      <c r="G54" s="12"/>
      <c r="H54" s="12"/>
      <c r="I54" s="12"/>
      <c r="J54" s="12"/>
      <c r="K54" s="12"/>
      <c r="L54" s="12"/>
    </row>
    <row r="55" spans="2:12" x14ac:dyDescent="0.3">
      <c r="B55" s="114"/>
      <c r="C55" s="12"/>
      <c r="D55" s="12"/>
      <c r="E55" s="12"/>
      <c r="F55" s="12"/>
      <c r="G55" s="12"/>
      <c r="H55" s="12"/>
      <c r="I55" s="12"/>
      <c r="J55" s="12"/>
      <c r="K55" s="12"/>
      <c r="L55" s="12"/>
    </row>
    <row r="56" spans="2:12" x14ac:dyDescent="0.3">
      <c r="B56" s="12"/>
      <c r="C56" s="12"/>
      <c r="D56" s="12"/>
      <c r="E56" s="12"/>
      <c r="F56" s="12"/>
      <c r="G56" s="12"/>
      <c r="H56" s="12"/>
      <c r="I56" s="12"/>
      <c r="J56" s="12"/>
      <c r="K56" s="12"/>
      <c r="L56" s="12"/>
    </row>
    <row r="57" spans="2:12" x14ac:dyDescent="0.3">
      <c r="B57" s="12"/>
      <c r="C57" s="12"/>
      <c r="D57" s="12"/>
      <c r="E57" s="12"/>
      <c r="F57" s="12"/>
      <c r="G57" s="12"/>
      <c r="H57" s="12"/>
      <c r="I57" s="12"/>
      <c r="J57" s="12"/>
      <c r="K57" s="12"/>
      <c r="L57" s="12"/>
    </row>
  </sheetData>
  <sheetProtection sheet="1" objects="1" scenarios="1"/>
  <mergeCells count="2">
    <mergeCell ref="E11:F11"/>
    <mergeCell ref="L28:M29"/>
  </mergeCells>
  <conditionalFormatting sqref="M26">
    <cfRule type="cellIs" dxfId="19" priority="3" operator="lessThan">
      <formula>0</formula>
    </cfRule>
    <cfRule type="cellIs" dxfId="18" priority="4" operator="greaterThan">
      <formula>0</formula>
    </cfRule>
  </conditionalFormatting>
  <conditionalFormatting sqref="H26">
    <cfRule type="cellIs" dxfId="17" priority="5" operator="lessThan">
      <formula>0</formula>
    </cfRule>
    <cfRule type="cellIs" dxfId="16" priority="6" operator="greaterThan">
      <formula>0</formula>
    </cfRule>
  </conditionalFormatting>
  <conditionalFormatting sqref="L28">
    <cfRule type="containsText" dxfId="15" priority="1" operator="containsText" text="kattavat">
      <formula>NOT(ISERROR(SEARCH("kattavat",L28)))</formula>
    </cfRule>
    <cfRule type="containsText" dxfId="14" priority="2" operator="containsText" text="eivät">
      <formula>NOT(ISERROR(SEARCH("eivät",L28)))</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07"/>
  <sheetViews>
    <sheetView zoomScale="90" zoomScaleNormal="90" workbookViewId="0">
      <selection activeCell="I8" sqref="I8"/>
    </sheetView>
  </sheetViews>
  <sheetFormatPr defaultColWidth="9.109375" defaultRowHeight="14.4" x14ac:dyDescent="0.3"/>
  <cols>
    <col min="1" max="1" width="2.88671875" style="85" customWidth="1"/>
    <col min="2" max="2" width="17.6640625" style="85" customWidth="1"/>
    <col min="3" max="3" width="10.44140625" style="85" customWidth="1"/>
    <col min="4" max="4" width="13" style="85" customWidth="1"/>
    <col min="5" max="5" width="18.5546875" style="85" customWidth="1"/>
    <col min="6" max="6" width="16.44140625" style="85" customWidth="1"/>
    <col min="7" max="7" width="20.6640625" style="85" customWidth="1"/>
    <col min="8" max="8" width="20.109375" style="85" customWidth="1"/>
    <col min="9" max="9" width="14.88671875" style="85" customWidth="1"/>
    <col min="10" max="10" width="11.44140625" style="85" bestFit="1" customWidth="1"/>
    <col min="11" max="11" width="16" style="85" customWidth="1"/>
    <col min="12" max="12" width="11.44140625" style="85" bestFit="1" customWidth="1"/>
    <col min="13" max="13" width="9.109375" style="85"/>
    <col min="14" max="14" width="34.88671875" style="85" bestFit="1" customWidth="1"/>
    <col min="15" max="15" width="10" style="85" bestFit="1" customWidth="1"/>
    <col min="16" max="16" width="23.5546875" style="85" bestFit="1" customWidth="1"/>
    <col min="17" max="17" width="31.5546875" style="85" bestFit="1" customWidth="1"/>
    <col min="18" max="18" width="18.109375" style="85" bestFit="1" customWidth="1"/>
    <col min="19" max="16384" width="9.109375" style="85"/>
  </cols>
  <sheetData>
    <row r="1" spans="2:18" ht="21" x14ac:dyDescent="0.35">
      <c r="B1" s="88" t="s">
        <v>64</v>
      </c>
    </row>
    <row r="2" spans="2:18" ht="21" x14ac:dyDescent="0.35">
      <c r="B2" s="88"/>
    </row>
    <row r="3" spans="2:18" ht="21" x14ac:dyDescent="0.35">
      <c r="B3" s="88" t="s">
        <v>163</v>
      </c>
      <c r="G3" s="132"/>
      <c r="H3" s="132"/>
      <c r="I3" s="110"/>
      <c r="J3" s="110"/>
      <c r="K3" s="132"/>
      <c r="L3" s="132"/>
      <c r="M3" s="110"/>
      <c r="N3" s="110"/>
      <c r="O3" s="132"/>
      <c r="P3" s="110"/>
      <c r="Q3" s="110"/>
    </row>
    <row r="4" spans="2:18" x14ac:dyDescent="0.3">
      <c r="B4" s="2" t="s">
        <v>67</v>
      </c>
      <c r="C4" s="1"/>
      <c r="D4" s="1"/>
      <c r="G4" s="134"/>
      <c r="H4" s="134"/>
      <c r="I4" s="110"/>
      <c r="J4" s="110"/>
      <c r="K4" s="134"/>
      <c r="L4" s="134"/>
      <c r="M4" s="110"/>
      <c r="N4" s="110"/>
      <c r="O4" s="134"/>
      <c r="P4" s="110"/>
      <c r="Q4" s="110"/>
    </row>
    <row r="5" spans="2:18" ht="15" x14ac:dyDescent="0.25">
      <c r="B5" s="1" t="s">
        <v>13</v>
      </c>
      <c r="C5" s="83" t="s">
        <v>102</v>
      </c>
      <c r="D5" s="1"/>
      <c r="G5" s="110"/>
      <c r="H5" s="110"/>
      <c r="I5" s="135"/>
      <c r="J5" s="110"/>
      <c r="K5" s="110"/>
      <c r="L5" s="110"/>
      <c r="M5" s="135"/>
      <c r="N5" s="110"/>
      <c r="O5" s="110"/>
      <c r="P5" s="135"/>
      <c r="Q5" s="110"/>
    </row>
    <row r="6" spans="2:18" ht="15" x14ac:dyDescent="0.25">
      <c r="B6" s="1" t="s">
        <v>66</v>
      </c>
      <c r="C6" s="83">
        <v>75</v>
      </c>
      <c r="D6" s="1"/>
      <c r="G6" s="110"/>
      <c r="H6" s="110"/>
      <c r="I6" s="135"/>
      <c r="J6" s="110"/>
      <c r="K6" s="110"/>
      <c r="L6" s="110"/>
      <c r="M6" s="135"/>
      <c r="N6" s="110"/>
      <c r="O6" s="110"/>
      <c r="P6" s="135"/>
      <c r="Q6" s="110"/>
    </row>
    <row r="7" spans="2:18" ht="15" x14ac:dyDescent="0.25">
      <c r="B7" s="1" t="s">
        <v>65</v>
      </c>
      <c r="C7" s="83" t="s">
        <v>181</v>
      </c>
      <c r="D7" s="1"/>
      <c r="G7" s="110"/>
      <c r="H7" s="110"/>
      <c r="I7" s="135"/>
      <c r="J7" s="110"/>
      <c r="K7" s="110"/>
      <c r="L7" s="110"/>
      <c r="M7" s="135"/>
      <c r="N7" s="110"/>
      <c r="O7" s="110"/>
      <c r="P7" s="135"/>
      <c r="Q7" s="110"/>
    </row>
    <row r="8" spans="2:18" ht="15" x14ac:dyDescent="0.25">
      <c r="N8" s="110"/>
      <c r="O8" s="110"/>
      <c r="P8" s="110"/>
      <c r="Q8" s="133"/>
    </row>
    <row r="9" spans="2:18" ht="15" x14ac:dyDescent="0.25">
      <c r="N9" s="110"/>
      <c r="O9" s="110"/>
      <c r="P9" s="110"/>
      <c r="Q9" s="133"/>
    </row>
    <row r="10" spans="2:18" ht="15" x14ac:dyDescent="0.25">
      <c r="N10" s="110"/>
      <c r="O10" s="110"/>
      <c r="P10" s="110"/>
      <c r="Q10" s="133"/>
    </row>
    <row r="11" spans="2:18" ht="15" hidden="1" x14ac:dyDescent="0.25">
      <c r="N11" s="110" t="s">
        <v>121</v>
      </c>
      <c r="O11" s="110"/>
      <c r="P11" s="110"/>
    </row>
    <row r="12" spans="2:18" ht="29.25" hidden="1" customHeight="1" x14ac:dyDescent="0.25">
      <c r="B12" s="246" t="s">
        <v>116</v>
      </c>
      <c r="C12" s="246"/>
      <c r="D12" s="21" t="s">
        <v>103</v>
      </c>
      <c r="E12" s="249" t="s">
        <v>155</v>
      </c>
      <c r="F12" s="249"/>
      <c r="G12" s="249"/>
      <c r="H12" s="249"/>
      <c r="I12" s="249"/>
      <c r="J12" s="249"/>
      <c r="K12" s="249"/>
      <c r="L12" s="249"/>
      <c r="N12" s="144" t="s">
        <v>127</v>
      </c>
      <c r="O12" s="149"/>
      <c r="P12" s="138"/>
      <c r="Q12" s="150"/>
      <c r="R12" s="145"/>
    </row>
    <row r="13" spans="2:18" ht="15" hidden="1" x14ac:dyDescent="0.25">
      <c r="B13" s="100"/>
      <c r="C13" s="1"/>
      <c r="D13" s="21"/>
      <c r="E13" s="248">
        <v>1</v>
      </c>
      <c r="F13" s="248"/>
      <c r="G13" s="247">
        <v>0.4</v>
      </c>
      <c r="H13" s="247"/>
      <c r="I13" s="248">
        <v>0.6</v>
      </c>
      <c r="J13" s="248"/>
      <c r="K13" s="247">
        <v>0.8</v>
      </c>
      <c r="L13" s="247"/>
      <c r="N13" s="144"/>
      <c r="O13" s="149"/>
      <c r="P13" s="138"/>
      <c r="Q13" s="150"/>
      <c r="R13" s="145"/>
    </row>
    <row r="14" spans="2:18" ht="15" hidden="1" x14ac:dyDescent="0.25">
      <c r="B14" s="101"/>
      <c r="C14" s="101" t="s">
        <v>135</v>
      </c>
      <c r="D14" s="101" t="s">
        <v>38</v>
      </c>
      <c r="E14" s="90" t="s">
        <v>135</v>
      </c>
      <c r="F14" s="90" t="s">
        <v>38</v>
      </c>
      <c r="G14" s="101" t="s">
        <v>135</v>
      </c>
      <c r="H14" s="101" t="s">
        <v>38</v>
      </c>
      <c r="I14" s="90" t="s">
        <v>135</v>
      </c>
      <c r="J14" s="90" t="s">
        <v>38</v>
      </c>
      <c r="K14" s="101" t="s">
        <v>135</v>
      </c>
      <c r="L14" s="101" t="s">
        <v>38</v>
      </c>
      <c r="N14" s="146" t="s">
        <v>122</v>
      </c>
      <c r="O14" s="151" t="s">
        <v>130</v>
      </c>
      <c r="P14" s="146" t="s">
        <v>129</v>
      </c>
      <c r="Q14" s="151" t="s">
        <v>154</v>
      </c>
      <c r="R14" s="155" t="s">
        <v>128</v>
      </c>
    </row>
    <row r="15" spans="2:18" ht="15" hidden="1" x14ac:dyDescent="0.25">
      <c r="B15" s="12" t="s">
        <v>0</v>
      </c>
      <c r="C15" s="95">
        <v>9.6750000000000007</v>
      </c>
      <c r="D15" s="95" t="e">
        <f>C15*B25</f>
        <v>#DIV/0!</v>
      </c>
      <c r="E15" s="93">
        <f>C15*$C$37</f>
        <v>2.8347749999999996</v>
      </c>
      <c r="F15" s="93" t="e">
        <f>E15*B25</f>
        <v>#DIV/0!</v>
      </c>
      <c r="G15" s="95">
        <f>C22-SUM(G16:G21)</f>
        <v>12.203909999999999</v>
      </c>
      <c r="H15" s="95" t="e">
        <f>G15*B25</f>
        <v>#DIV/0!</v>
      </c>
      <c r="I15" s="93">
        <f>C22-SUM(I16:I21)</f>
        <v>9.0808649999999993</v>
      </c>
      <c r="J15" s="93" t="e">
        <f>I15*B25</f>
        <v>#DIV/0!</v>
      </c>
      <c r="K15" s="95">
        <f>C22-SUM(K16:K21)</f>
        <v>5.9578199999999981</v>
      </c>
      <c r="L15" s="95" t="e">
        <f>K15*B25</f>
        <v>#DIV/0!</v>
      </c>
      <c r="N15" s="138" t="s">
        <v>0</v>
      </c>
      <c r="O15" s="173" t="s">
        <v>123</v>
      </c>
      <c r="P15" s="9">
        <v>104</v>
      </c>
      <c r="Q15" s="174">
        <v>2.0499999999999998</v>
      </c>
      <c r="R15" s="156">
        <f>P15*Q15</f>
        <v>213.2</v>
      </c>
    </row>
    <row r="16" spans="2:18" ht="15" hidden="1" x14ac:dyDescent="0.25">
      <c r="B16" s="12" t="s">
        <v>1</v>
      </c>
      <c r="C16" s="95">
        <v>3</v>
      </c>
      <c r="D16" s="95" t="e">
        <f t="shared" ref="D16:D21" si="0">C16*C29</f>
        <v>#DIV/0!</v>
      </c>
      <c r="E16" s="93">
        <f>C16+$C$15*$C$38</f>
        <v>6.1734000000000009</v>
      </c>
      <c r="F16" s="93" t="e">
        <f>E16*$C$29</f>
        <v>#DIV/0!</v>
      </c>
      <c r="G16" s="95">
        <f t="shared" ref="G16:G21" si="1">E16*0.4</f>
        <v>2.4693600000000004</v>
      </c>
      <c r="H16" s="95" t="e">
        <f t="shared" ref="H16:H21" si="2">G16*C29</f>
        <v>#DIV/0!</v>
      </c>
      <c r="I16" s="93">
        <f t="shared" ref="I16:I21" si="3">E16*0.6</f>
        <v>3.7040400000000004</v>
      </c>
      <c r="J16" s="93" t="e">
        <f t="shared" ref="J16:J21" si="4">I16*C29</f>
        <v>#DIV/0!</v>
      </c>
      <c r="K16" s="95">
        <f t="shared" ref="K16:K21" si="5">E16*0.8</f>
        <v>4.9387200000000009</v>
      </c>
      <c r="L16" s="95" t="e">
        <f t="shared" ref="L16:L21" si="6">K16*C29</f>
        <v>#DIV/0!</v>
      </c>
      <c r="N16" s="138" t="s">
        <v>1</v>
      </c>
      <c r="O16" s="173" t="s">
        <v>124</v>
      </c>
      <c r="P16" s="9">
        <v>52</v>
      </c>
      <c r="Q16" s="174">
        <v>0</v>
      </c>
      <c r="R16" s="156">
        <f t="shared" ref="R16:R21" si="7">P16*Q16</f>
        <v>0</v>
      </c>
    </row>
    <row r="17" spans="2:18" ht="15" hidden="1" x14ac:dyDescent="0.25">
      <c r="B17" s="12" t="s">
        <v>18</v>
      </c>
      <c r="C17" s="95">
        <v>0.9</v>
      </c>
      <c r="D17" s="95" t="e">
        <f t="shared" si="0"/>
        <v>#DIV/0!</v>
      </c>
      <c r="E17" s="93">
        <f>C17+$C$15*C39</f>
        <v>1.6933500000000001</v>
      </c>
      <c r="F17" s="93" t="e">
        <f>E17*C30</f>
        <v>#DIV/0!</v>
      </c>
      <c r="G17" s="95">
        <f t="shared" si="1"/>
        <v>0.67734000000000005</v>
      </c>
      <c r="H17" s="95" t="e">
        <f t="shared" si="2"/>
        <v>#DIV/0!</v>
      </c>
      <c r="I17" s="93">
        <f t="shared" si="3"/>
        <v>1.0160100000000001</v>
      </c>
      <c r="J17" s="93" t="e">
        <f t="shared" si="4"/>
        <v>#DIV/0!</v>
      </c>
      <c r="K17" s="95">
        <f t="shared" si="5"/>
        <v>1.3546800000000001</v>
      </c>
      <c r="L17" s="95" t="e">
        <f t="shared" si="6"/>
        <v>#DIV/0!</v>
      </c>
      <c r="N17" s="138" t="s">
        <v>18</v>
      </c>
      <c r="O17" s="173" t="s">
        <v>145</v>
      </c>
      <c r="P17" s="9">
        <v>24</v>
      </c>
      <c r="Q17" s="174">
        <v>0</v>
      </c>
      <c r="R17" s="156">
        <f t="shared" si="7"/>
        <v>0</v>
      </c>
    </row>
    <row r="18" spans="2:18" ht="15" hidden="1" x14ac:dyDescent="0.25">
      <c r="B18" s="12" t="s">
        <v>2</v>
      </c>
      <c r="C18" s="95">
        <v>0.15</v>
      </c>
      <c r="D18" s="95" t="e">
        <f t="shared" si="0"/>
        <v>#DIV/0!</v>
      </c>
      <c r="E18" s="93">
        <f>C18+$C$15*C40</f>
        <v>0.372525</v>
      </c>
      <c r="F18" s="93" t="e">
        <f>E18*C31</f>
        <v>#DIV/0!</v>
      </c>
      <c r="G18" s="95">
        <f t="shared" si="1"/>
        <v>0.14901</v>
      </c>
      <c r="H18" s="95" t="e">
        <f t="shared" si="2"/>
        <v>#DIV/0!</v>
      </c>
      <c r="I18" s="93">
        <f t="shared" si="3"/>
        <v>0.22351499999999999</v>
      </c>
      <c r="J18" s="93" t="e">
        <f t="shared" si="4"/>
        <v>#DIV/0!</v>
      </c>
      <c r="K18" s="95">
        <f t="shared" si="5"/>
        <v>0.29802000000000001</v>
      </c>
      <c r="L18" s="95" t="e">
        <f t="shared" si="6"/>
        <v>#DIV/0!</v>
      </c>
      <c r="N18" s="138" t="s">
        <v>2</v>
      </c>
      <c r="O18" s="173" t="s">
        <v>124</v>
      </c>
      <c r="P18" s="9">
        <v>12</v>
      </c>
      <c r="Q18" s="174">
        <v>0</v>
      </c>
      <c r="R18" s="156">
        <f t="shared" si="7"/>
        <v>0</v>
      </c>
    </row>
    <row r="19" spans="2:18" ht="15" hidden="1" x14ac:dyDescent="0.25">
      <c r="B19" s="12" t="s">
        <v>17</v>
      </c>
      <c r="C19" s="95">
        <v>0.375</v>
      </c>
      <c r="D19" s="95" t="e">
        <f t="shared" si="0"/>
        <v>#DIV/0!</v>
      </c>
      <c r="E19" s="93">
        <f>C19+$C$15*C41</f>
        <v>0.60719999999999996</v>
      </c>
      <c r="F19" s="93" t="e">
        <f>E19*C32</f>
        <v>#DIV/0!</v>
      </c>
      <c r="G19" s="95">
        <f t="shared" si="1"/>
        <v>0.24287999999999998</v>
      </c>
      <c r="H19" s="95" t="e">
        <f t="shared" si="2"/>
        <v>#DIV/0!</v>
      </c>
      <c r="I19" s="93">
        <f t="shared" si="3"/>
        <v>0.36431999999999998</v>
      </c>
      <c r="J19" s="93" t="e">
        <f t="shared" si="4"/>
        <v>#DIV/0!</v>
      </c>
      <c r="K19" s="95">
        <f t="shared" si="5"/>
        <v>0.48575999999999997</v>
      </c>
      <c r="L19" s="95" t="e">
        <f t="shared" si="6"/>
        <v>#DIV/0!</v>
      </c>
      <c r="N19" s="138" t="s">
        <v>17</v>
      </c>
      <c r="O19" s="173" t="s">
        <v>124</v>
      </c>
      <c r="P19" s="9">
        <v>12</v>
      </c>
      <c r="Q19" s="174">
        <v>0</v>
      </c>
      <c r="R19" s="156">
        <f t="shared" si="7"/>
        <v>0</v>
      </c>
    </row>
    <row r="20" spans="2:18" ht="15" hidden="1" x14ac:dyDescent="0.25">
      <c r="B20" s="12" t="s">
        <v>5</v>
      </c>
      <c r="C20" s="95">
        <v>3.9</v>
      </c>
      <c r="D20" s="95" t="e">
        <f t="shared" si="0"/>
        <v>#DIV/0!</v>
      </c>
      <c r="E20" s="93">
        <f>C20+$C$15*C42</f>
        <v>4.7030250000000002</v>
      </c>
      <c r="F20" s="93" t="e">
        <f>E20*C33</f>
        <v>#DIV/0!</v>
      </c>
      <c r="G20" s="95">
        <f t="shared" si="1"/>
        <v>1.8812100000000003</v>
      </c>
      <c r="H20" s="95" t="e">
        <f t="shared" si="2"/>
        <v>#DIV/0!</v>
      </c>
      <c r="I20" s="93">
        <f t="shared" si="3"/>
        <v>2.821815</v>
      </c>
      <c r="J20" s="93" t="e">
        <f t="shared" si="4"/>
        <v>#DIV/0!</v>
      </c>
      <c r="K20" s="95">
        <f t="shared" si="5"/>
        <v>3.7624200000000005</v>
      </c>
      <c r="L20" s="95" t="e">
        <f t="shared" si="6"/>
        <v>#DIV/0!</v>
      </c>
      <c r="N20" s="138" t="s">
        <v>5</v>
      </c>
      <c r="O20" s="173" t="s">
        <v>123</v>
      </c>
      <c r="P20" s="9">
        <v>24</v>
      </c>
      <c r="Q20" s="174">
        <v>0</v>
      </c>
      <c r="R20" s="156">
        <f t="shared" si="7"/>
        <v>0</v>
      </c>
    </row>
    <row r="21" spans="2:18" ht="15" hidden="1" x14ac:dyDescent="0.25">
      <c r="B21" s="8" t="s">
        <v>19</v>
      </c>
      <c r="C21" s="96">
        <v>0.45</v>
      </c>
      <c r="D21" s="96" t="e">
        <f t="shared" si="0"/>
        <v>#DIV/0!</v>
      </c>
      <c r="E21" s="84">
        <f>C21+$C$15*C43</f>
        <v>2.0657250000000005</v>
      </c>
      <c r="F21" s="84" t="e">
        <f>E21*C34</f>
        <v>#DIV/0!</v>
      </c>
      <c r="G21" s="96">
        <f t="shared" si="1"/>
        <v>0.82629000000000019</v>
      </c>
      <c r="H21" s="96" t="e">
        <f t="shared" si="2"/>
        <v>#DIV/0!</v>
      </c>
      <c r="I21" s="84">
        <f t="shared" si="3"/>
        <v>1.2394350000000003</v>
      </c>
      <c r="J21" s="84" t="e">
        <f t="shared" si="4"/>
        <v>#DIV/0!</v>
      </c>
      <c r="K21" s="96">
        <f t="shared" si="5"/>
        <v>1.6525800000000004</v>
      </c>
      <c r="L21" s="96" t="e">
        <f t="shared" si="6"/>
        <v>#DIV/0!</v>
      </c>
      <c r="N21" s="137" t="s">
        <v>19</v>
      </c>
      <c r="O21" s="176" t="s">
        <v>125</v>
      </c>
      <c r="P21" s="10">
        <v>24</v>
      </c>
      <c r="Q21" s="177">
        <v>0</v>
      </c>
      <c r="R21" s="154">
        <f t="shared" si="7"/>
        <v>0</v>
      </c>
    </row>
    <row r="22" spans="2:18" ht="15" hidden="1" x14ac:dyDescent="0.25">
      <c r="B22" s="1"/>
      <c r="C22" s="1">
        <v>18.45</v>
      </c>
      <c r="D22" s="95" t="e">
        <f>SUM(D15:D21)</f>
        <v>#DIV/0!</v>
      </c>
      <c r="E22" s="92">
        <f>SUM(E15:E21)</f>
        <v>18.450000000000003</v>
      </c>
      <c r="F22" s="92" t="e">
        <f>SUM(F15:F21)</f>
        <v>#DIV/0!</v>
      </c>
      <c r="G22" s="1"/>
      <c r="H22" s="95" t="e">
        <f>SUM(H15:H21)</f>
        <v>#DIV/0!</v>
      </c>
      <c r="I22" s="22"/>
      <c r="J22" s="93" t="e">
        <f>SUM(J15:J21)</f>
        <v>#DIV/0!</v>
      </c>
      <c r="K22" s="1"/>
      <c r="L22" s="95" t="e">
        <f>SUM(L15:L21)</f>
        <v>#DIV/0!</v>
      </c>
      <c r="N22" s="138"/>
      <c r="O22" s="140"/>
      <c r="P22" s="148"/>
      <c r="Q22" s="152"/>
      <c r="R22" s="156">
        <f>SUM(R15:R21)</f>
        <v>213.2</v>
      </c>
    </row>
    <row r="23" spans="2:18" ht="15" hidden="1" x14ac:dyDescent="0.25">
      <c r="J23" s="98"/>
      <c r="N23" s="110"/>
      <c r="O23" s="110"/>
      <c r="P23" s="110"/>
      <c r="Q23" s="168" t="s">
        <v>150</v>
      </c>
    </row>
    <row r="24" spans="2:18" ht="15" hidden="1" x14ac:dyDescent="0.25">
      <c r="B24" s="94" t="s">
        <v>100</v>
      </c>
      <c r="C24" s="1"/>
      <c r="G24" s="98"/>
      <c r="N24" s="136"/>
      <c r="O24" s="136"/>
      <c r="P24" s="110"/>
      <c r="Q24" s="110"/>
    </row>
    <row r="25" spans="2:18" ht="15" hidden="1" x14ac:dyDescent="0.25">
      <c r="B25" s="94" t="e">
        <f>'Uudet hinnat'!C35</f>
        <v>#DIV/0!</v>
      </c>
      <c r="C25" s="1" t="s">
        <v>20</v>
      </c>
      <c r="N25" s="136"/>
      <c r="O25" s="136"/>
      <c r="P25" s="110"/>
      <c r="Q25" s="110"/>
    </row>
    <row r="26" spans="2:18" ht="15" hidden="1" x14ac:dyDescent="0.25">
      <c r="E26" s="22" t="s">
        <v>37</v>
      </c>
      <c r="F26" s="22" t="s">
        <v>146</v>
      </c>
      <c r="G26" s="140" t="s">
        <v>147</v>
      </c>
      <c r="H26" s="159" t="s">
        <v>148</v>
      </c>
      <c r="I26" s="169" t="s">
        <v>40</v>
      </c>
      <c r="J26" s="98"/>
      <c r="K26" s="99"/>
    </row>
    <row r="27" spans="2:18" ht="15" hidden="1" x14ac:dyDescent="0.25">
      <c r="B27" s="129" t="s">
        <v>105</v>
      </c>
      <c r="C27" s="131"/>
      <c r="E27" s="102">
        <v>0.4</v>
      </c>
      <c r="F27" s="93" t="e">
        <f>H22</f>
        <v>#DIV/0!</v>
      </c>
      <c r="G27" s="158">
        <f>$R$22</f>
        <v>213.2</v>
      </c>
      <c r="H27" s="175" t="e">
        <f>SUM($F$27:$G$27)/2</f>
        <v>#DIV/0!</v>
      </c>
      <c r="I27" s="170" t="e">
        <f>SUM(F27:H27)</f>
        <v>#DIV/0!</v>
      </c>
      <c r="M27" s="98"/>
    </row>
    <row r="28" spans="2:18" ht="15" hidden="1" x14ac:dyDescent="0.25">
      <c r="B28" s="35" t="s">
        <v>0</v>
      </c>
      <c r="C28" s="141" t="s">
        <v>12</v>
      </c>
      <c r="E28" s="102">
        <v>0.6</v>
      </c>
      <c r="F28" s="93" t="e">
        <f>J22</f>
        <v>#DIV/0!</v>
      </c>
      <c r="G28" s="158">
        <f>$R$22</f>
        <v>213.2</v>
      </c>
      <c r="H28" s="175" t="e">
        <f>SUM($F$27:$G$27)/2</f>
        <v>#DIV/0!</v>
      </c>
      <c r="I28" s="170" t="e">
        <f>SUM(F28:H28)</f>
        <v>#DIV/0!</v>
      </c>
    </row>
    <row r="29" spans="2:18" ht="15" hidden="1" x14ac:dyDescent="0.25">
      <c r="B29" s="35" t="s">
        <v>1</v>
      </c>
      <c r="C29" s="142" t="e">
        <f>'Uudet hinnat'!$N$13</f>
        <v>#DIV/0!</v>
      </c>
      <c r="E29" s="102">
        <v>0.8</v>
      </c>
      <c r="F29" s="93" t="e">
        <f>L22</f>
        <v>#DIV/0!</v>
      </c>
      <c r="G29" s="158">
        <f>$R$22</f>
        <v>213.2</v>
      </c>
      <c r="H29" s="175" t="e">
        <f>SUM($F$27:$G$27)/2</f>
        <v>#DIV/0!</v>
      </c>
      <c r="I29" s="170" t="e">
        <f>SUM(F29:H29)</f>
        <v>#DIV/0!</v>
      </c>
    </row>
    <row r="30" spans="2:18" ht="15" hidden="1" x14ac:dyDescent="0.25">
      <c r="B30" s="35" t="s">
        <v>18</v>
      </c>
      <c r="C30" s="142" t="e">
        <f>'Uudet hinnat'!$N$14</f>
        <v>#DIV/0!</v>
      </c>
      <c r="E30" s="169" t="s">
        <v>149</v>
      </c>
      <c r="F30" s="169"/>
      <c r="G30" s="169"/>
      <c r="H30" s="169"/>
      <c r="I30" s="169"/>
      <c r="K30" s="98"/>
    </row>
    <row r="31" spans="2:18" ht="15" hidden="1" x14ac:dyDescent="0.25">
      <c r="B31" s="35" t="s">
        <v>2</v>
      </c>
      <c r="C31" s="142" t="e">
        <f>'Uudet hinnat'!$N$15</f>
        <v>#DIV/0!</v>
      </c>
      <c r="E31" s="22" t="s">
        <v>37</v>
      </c>
      <c r="F31" s="22" t="s">
        <v>146</v>
      </c>
      <c r="G31" s="140" t="s">
        <v>147</v>
      </c>
      <c r="H31" s="159" t="s">
        <v>148</v>
      </c>
      <c r="I31" s="169" t="s">
        <v>40</v>
      </c>
      <c r="K31" s="98"/>
    </row>
    <row r="32" spans="2:18" ht="15" hidden="1" x14ac:dyDescent="0.25">
      <c r="B32" s="35" t="s">
        <v>17</v>
      </c>
      <c r="C32" s="142" t="e">
        <f>'Uudet hinnat'!$N$16</f>
        <v>#DIV/0!</v>
      </c>
      <c r="E32" s="102">
        <v>0.4</v>
      </c>
      <c r="F32" s="160" t="e">
        <f t="shared" ref="F32:H34" si="8">F27/SUM($F$27:$H$27)</f>
        <v>#DIV/0!</v>
      </c>
      <c r="G32" s="161" t="e">
        <f t="shared" si="8"/>
        <v>#DIV/0!</v>
      </c>
      <c r="H32" s="162" t="e">
        <f t="shared" si="8"/>
        <v>#DIV/0!</v>
      </c>
      <c r="I32" s="171" t="e">
        <f>SUM(F32:H32)</f>
        <v>#DIV/0!</v>
      </c>
    </row>
    <row r="33" spans="2:19" ht="15" hidden="1" x14ac:dyDescent="0.25">
      <c r="B33" s="35" t="s">
        <v>5</v>
      </c>
      <c r="C33" s="142" t="e">
        <f>'Uudet hinnat'!$N$17</f>
        <v>#DIV/0!</v>
      </c>
      <c r="E33" s="102">
        <v>0.6</v>
      </c>
      <c r="F33" s="160" t="e">
        <f t="shared" si="8"/>
        <v>#DIV/0!</v>
      </c>
      <c r="G33" s="161" t="e">
        <f t="shared" si="8"/>
        <v>#DIV/0!</v>
      </c>
      <c r="H33" s="162" t="e">
        <f t="shared" si="8"/>
        <v>#DIV/0!</v>
      </c>
      <c r="I33" s="171" t="e">
        <f>SUM(F33:H33)</f>
        <v>#DIV/0!</v>
      </c>
    </row>
    <row r="34" spans="2:19" ht="15" hidden="1" x14ac:dyDescent="0.25">
      <c r="B34" s="35" t="s">
        <v>19</v>
      </c>
      <c r="C34" s="142" t="e">
        <f>'Uudet hinnat'!$N$18</f>
        <v>#DIV/0!</v>
      </c>
      <c r="E34" s="102">
        <v>0.8</v>
      </c>
      <c r="F34" s="160" t="e">
        <f t="shared" si="8"/>
        <v>#DIV/0!</v>
      </c>
      <c r="G34" s="161" t="e">
        <f t="shared" si="8"/>
        <v>#DIV/0!</v>
      </c>
      <c r="H34" s="162" t="e">
        <f t="shared" si="8"/>
        <v>#DIV/0!</v>
      </c>
      <c r="I34" s="171" t="e">
        <f>SUM(F34:H34)</f>
        <v>#DIV/0!</v>
      </c>
      <c r="S34" s="165"/>
    </row>
    <row r="35" spans="2:19" ht="15" hidden="1" x14ac:dyDescent="0.25"/>
    <row r="36" spans="2:19" ht="15" hidden="1" x14ac:dyDescent="0.25">
      <c r="B36" s="129" t="s">
        <v>41</v>
      </c>
      <c r="C36" s="131"/>
    </row>
    <row r="37" spans="2:19" ht="15" hidden="1" x14ac:dyDescent="0.25">
      <c r="B37" s="35" t="str">
        <f>Oletusarvot!D24</f>
        <v>Sekajäte</v>
      </c>
      <c r="C37" s="72">
        <f>Oletusarvot!E24</f>
        <v>0.29299999999999993</v>
      </c>
    </row>
    <row r="38" spans="2:19" ht="15" hidden="1" x14ac:dyDescent="0.25">
      <c r="B38" s="35" t="str">
        <f>Oletusarvot!D25</f>
        <v>Biojäte</v>
      </c>
      <c r="C38" s="72">
        <f>Oletusarvot!E25</f>
        <v>0.32800000000000001</v>
      </c>
    </row>
    <row r="39" spans="2:19" ht="15" hidden="1" x14ac:dyDescent="0.25">
      <c r="B39" s="35" t="str">
        <f>Oletusarvot!D26</f>
        <v>Kartonkipakkaukset</v>
      </c>
      <c r="C39" s="72">
        <f>Oletusarvot!E26</f>
        <v>8.2000000000000003E-2</v>
      </c>
    </row>
    <row r="40" spans="2:19" ht="15" hidden="1" x14ac:dyDescent="0.25">
      <c r="B40" s="35" t="str">
        <f>Oletusarvot!D27</f>
        <v>Metalli</v>
      </c>
      <c r="C40" s="72">
        <f>Oletusarvot!E27</f>
        <v>2.3E-2</v>
      </c>
    </row>
    <row r="41" spans="2:19" ht="15" hidden="1" x14ac:dyDescent="0.25">
      <c r="B41" s="35" t="str">
        <f>Oletusarvot!D28</f>
        <v>Lasipakkaukset</v>
      </c>
      <c r="C41" s="72">
        <f>Oletusarvot!E28</f>
        <v>2.4E-2</v>
      </c>
    </row>
    <row r="42" spans="2:19" ht="15" hidden="1" x14ac:dyDescent="0.25">
      <c r="B42" s="35" t="str">
        <f>Oletusarvot!D29</f>
        <v>Paperi</v>
      </c>
      <c r="C42" s="72">
        <f>Oletusarvot!E29</f>
        <v>8.3000000000000004E-2</v>
      </c>
    </row>
    <row r="43" spans="2:19" ht="15" hidden="1" x14ac:dyDescent="0.25">
      <c r="B43" s="35" t="str">
        <f>Oletusarvot!D30</f>
        <v>Muovipakkaukset</v>
      </c>
      <c r="C43" s="72">
        <f>Oletusarvot!E30</f>
        <v>0.16700000000000001</v>
      </c>
    </row>
    <row r="44" spans="2:19" ht="15" hidden="1" x14ac:dyDescent="0.25">
      <c r="B44" s="245" t="s">
        <v>112</v>
      </c>
      <c r="C44" s="245"/>
    </row>
    <row r="46" spans="2:19" ht="15" x14ac:dyDescent="0.25">
      <c r="C46" s="106"/>
    </row>
    <row r="47" spans="2:19" ht="15" x14ac:dyDescent="0.25">
      <c r="C47" s="106"/>
    </row>
    <row r="48" spans="2:19" ht="15" x14ac:dyDescent="0.25">
      <c r="C48" s="106"/>
    </row>
    <row r="49" spans="3:3" ht="15" x14ac:dyDescent="0.25">
      <c r="C49" s="106"/>
    </row>
    <row r="50" spans="3:3" ht="15" x14ac:dyDescent="0.25">
      <c r="C50" s="106"/>
    </row>
    <row r="51" spans="3:3" ht="15" x14ac:dyDescent="0.25">
      <c r="C51" s="106"/>
    </row>
    <row r="52" spans="3:3" ht="15" x14ac:dyDescent="0.25">
      <c r="C52" s="106"/>
    </row>
    <row r="53" spans="3:3" ht="15" x14ac:dyDescent="0.25">
      <c r="C53" s="106"/>
    </row>
    <row r="54" spans="3:3" ht="15" x14ac:dyDescent="0.25">
      <c r="C54" s="106"/>
    </row>
    <row r="55" spans="3:3" ht="15" x14ac:dyDescent="0.25">
      <c r="C55" s="106"/>
    </row>
    <row r="56" spans="3:3" ht="15" x14ac:dyDescent="0.25">
      <c r="C56" s="106"/>
    </row>
    <row r="57" spans="3:3" ht="15" x14ac:dyDescent="0.25">
      <c r="C57" s="106"/>
    </row>
    <row r="58" spans="3:3" ht="15" x14ac:dyDescent="0.25">
      <c r="C58" s="106"/>
    </row>
    <row r="59" spans="3:3" ht="15" x14ac:dyDescent="0.25">
      <c r="C59" s="106"/>
    </row>
    <row r="60" spans="3:3" ht="15" x14ac:dyDescent="0.25">
      <c r="C60" s="106"/>
    </row>
    <row r="61" spans="3:3" ht="15" x14ac:dyDescent="0.25">
      <c r="C61" s="106"/>
    </row>
    <row r="62" spans="3:3" ht="15" x14ac:dyDescent="0.25">
      <c r="C62" s="106"/>
    </row>
    <row r="63" spans="3:3" ht="15" x14ac:dyDescent="0.25">
      <c r="C63" s="106"/>
    </row>
    <row r="64" spans="3:3" ht="15" x14ac:dyDescent="0.25">
      <c r="C64" s="106"/>
    </row>
    <row r="65" spans="2:17" ht="15" x14ac:dyDescent="0.25">
      <c r="C65" s="106"/>
    </row>
    <row r="66" spans="2:17" ht="15" x14ac:dyDescent="0.25">
      <c r="C66" s="106"/>
    </row>
    <row r="67" spans="2:17" ht="15" x14ac:dyDescent="0.25">
      <c r="C67" s="106"/>
    </row>
    <row r="68" spans="2:17" x14ac:dyDescent="0.3">
      <c r="C68" s="106"/>
    </row>
    <row r="69" spans="2:17" x14ac:dyDescent="0.3">
      <c r="C69" s="106"/>
    </row>
    <row r="70" spans="2:17" x14ac:dyDescent="0.3">
      <c r="C70" s="106"/>
    </row>
    <row r="71" spans="2:17" x14ac:dyDescent="0.3">
      <c r="C71" s="106"/>
    </row>
    <row r="72" spans="2:17" x14ac:dyDescent="0.3">
      <c r="C72" s="106"/>
    </row>
    <row r="74" spans="2:17" ht="21" x14ac:dyDescent="0.4">
      <c r="B74" s="88" t="s">
        <v>164</v>
      </c>
    </row>
    <row r="75" spans="2:17" x14ac:dyDescent="0.3">
      <c r="B75" s="2" t="s">
        <v>67</v>
      </c>
      <c r="C75" s="1"/>
      <c r="D75" s="1"/>
    </row>
    <row r="76" spans="2:17" x14ac:dyDescent="0.3">
      <c r="B76" s="1" t="s">
        <v>13</v>
      </c>
      <c r="C76" s="124" t="s">
        <v>102</v>
      </c>
      <c r="D76" s="1"/>
    </row>
    <row r="77" spans="2:17" x14ac:dyDescent="0.3">
      <c r="B77" s="1" t="s">
        <v>66</v>
      </c>
      <c r="C77" s="124">
        <v>3</v>
      </c>
      <c r="D77" s="1"/>
    </row>
    <row r="78" spans="2:17" x14ac:dyDescent="0.3">
      <c r="B78" s="1" t="s">
        <v>65</v>
      </c>
      <c r="C78" s="124" t="s">
        <v>117</v>
      </c>
      <c r="D78" s="1"/>
    </row>
    <row r="79" spans="2:17" x14ac:dyDescent="0.3">
      <c r="D79" s="97"/>
    </row>
    <row r="80" spans="2:17" ht="15" hidden="1" x14ac:dyDescent="0.25">
      <c r="B80" s="85" t="s">
        <v>116</v>
      </c>
      <c r="D80" s="97"/>
      <c r="N80" s="110" t="s">
        <v>121</v>
      </c>
      <c r="O80" s="110"/>
      <c r="P80" s="110"/>
      <c r="Q80" s="133"/>
    </row>
    <row r="81" spans="2:18" ht="30" hidden="1" x14ac:dyDescent="0.25">
      <c r="B81" s="100" t="s">
        <v>101</v>
      </c>
      <c r="C81" s="1"/>
      <c r="D81" s="64" t="s">
        <v>103</v>
      </c>
      <c r="E81" s="21" t="s">
        <v>104</v>
      </c>
      <c r="F81" s="64" t="s">
        <v>103</v>
      </c>
      <c r="G81" s="21" t="s">
        <v>107</v>
      </c>
      <c r="H81" s="64" t="s">
        <v>103</v>
      </c>
      <c r="I81" s="21" t="s">
        <v>106</v>
      </c>
      <c r="J81" s="64" t="s">
        <v>103</v>
      </c>
      <c r="K81" s="21" t="s">
        <v>108</v>
      </c>
      <c r="L81" s="64" t="s">
        <v>103</v>
      </c>
      <c r="N81" s="144" t="s">
        <v>127</v>
      </c>
      <c r="O81" s="149"/>
      <c r="P81" s="138"/>
      <c r="Q81" s="150" t="s">
        <v>151</v>
      </c>
      <c r="R81" s="145"/>
    </row>
    <row r="82" spans="2:18" ht="15" hidden="1" x14ac:dyDescent="0.25">
      <c r="B82" s="101"/>
      <c r="C82" s="101" t="s">
        <v>135</v>
      </c>
      <c r="D82" s="104" t="s">
        <v>38</v>
      </c>
      <c r="E82" s="103" t="s">
        <v>135</v>
      </c>
      <c r="F82" s="104" t="s">
        <v>38</v>
      </c>
      <c r="G82" s="103" t="s">
        <v>135</v>
      </c>
      <c r="H82" s="104" t="s">
        <v>38</v>
      </c>
      <c r="I82" s="103" t="s">
        <v>135</v>
      </c>
      <c r="J82" s="104" t="s">
        <v>38</v>
      </c>
      <c r="K82" s="103" t="s">
        <v>135</v>
      </c>
      <c r="L82" s="104" t="s">
        <v>38</v>
      </c>
      <c r="N82" s="146" t="s">
        <v>122</v>
      </c>
      <c r="O82" s="151" t="s">
        <v>130</v>
      </c>
      <c r="P82" s="146" t="s">
        <v>129</v>
      </c>
      <c r="Q82" s="151" t="s">
        <v>126</v>
      </c>
      <c r="R82" s="155" t="s">
        <v>128</v>
      </c>
    </row>
    <row r="83" spans="2:18" ht="15" hidden="1" x14ac:dyDescent="0.25">
      <c r="B83" s="12" t="s">
        <v>0</v>
      </c>
      <c r="C83" s="94">
        <v>0.77499999999999991</v>
      </c>
      <c r="D83" s="93" t="e">
        <f>C83*B93</f>
        <v>#DIV/0!</v>
      </c>
      <c r="E83" s="94">
        <f>C83*$C$37</f>
        <v>0.22707499999999992</v>
      </c>
      <c r="F83" s="93" t="e">
        <f>E83*B93</f>
        <v>#DIV/0!</v>
      </c>
      <c r="G83" s="94">
        <f>C90-SUM(G84:G89)</f>
        <v>0.67582999999999993</v>
      </c>
      <c r="H83" s="93" t="e">
        <f>G83*B93</f>
        <v>#DIV/0!</v>
      </c>
      <c r="I83" s="94">
        <f>C90-SUM(I84:I89)</f>
        <v>0.52624499999999985</v>
      </c>
      <c r="J83" s="93" t="e">
        <f>I83*B93</f>
        <v>#DIV/0!</v>
      </c>
      <c r="K83" s="94">
        <f>C90-SUM(K84:K89)</f>
        <v>0.37665999999999988</v>
      </c>
      <c r="L83" s="93" t="e">
        <f>K83*B93</f>
        <v>#DIV/0!</v>
      </c>
      <c r="N83" s="138" t="s">
        <v>0</v>
      </c>
      <c r="O83" s="173" t="s">
        <v>124</v>
      </c>
      <c r="P83" s="9">
        <v>24</v>
      </c>
      <c r="Q83" s="174">
        <v>1.85</v>
      </c>
      <c r="R83" s="156">
        <f>P83*Q83</f>
        <v>44.400000000000006</v>
      </c>
    </row>
    <row r="84" spans="2:18" ht="15" hidden="1" x14ac:dyDescent="0.25">
      <c r="B84" s="12" t="s">
        <v>1</v>
      </c>
      <c r="C84" s="94">
        <v>0.2</v>
      </c>
      <c r="D84" s="93" t="e">
        <f t="shared" ref="D84:D89" si="9">C84*C29</f>
        <v>#DIV/0!</v>
      </c>
      <c r="E84" s="94">
        <f t="shared" ref="E84:E89" si="10">C84+$C$83*C38</f>
        <v>0.45419999999999999</v>
      </c>
      <c r="F84" s="93" t="e">
        <f t="shared" ref="F84:F89" si="11">E84*C29</f>
        <v>#DIV/0!</v>
      </c>
      <c r="G84" s="94">
        <f t="shared" ref="G84:G89" si="12">E84*0.4</f>
        <v>0.18168000000000001</v>
      </c>
      <c r="H84" s="93" t="e">
        <f t="shared" ref="H84:H89" si="13">G84*C29</f>
        <v>#DIV/0!</v>
      </c>
      <c r="I84" s="94">
        <f t="shared" ref="I84:I89" si="14">E84*0.6</f>
        <v>0.27251999999999998</v>
      </c>
      <c r="J84" s="93" t="e">
        <f t="shared" ref="J84:J89" si="15">I84*C29</f>
        <v>#DIV/0!</v>
      </c>
      <c r="K84" s="94">
        <f t="shared" ref="K84:K89" si="16">E84*0.8</f>
        <v>0.36336000000000002</v>
      </c>
      <c r="L84" s="93" t="e">
        <f t="shared" ref="L84:L89" si="17">K84*C29</f>
        <v>#DIV/0!</v>
      </c>
      <c r="N84" s="138" t="s">
        <v>1</v>
      </c>
      <c r="O84" s="173" t="s">
        <v>124</v>
      </c>
      <c r="P84" s="9">
        <v>24</v>
      </c>
      <c r="Q84" s="174">
        <v>0</v>
      </c>
      <c r="R84" s="156">
        <f t="shared" ref="R84:R89" si="18">P84*Q84</f>
        <v>0</v>
      </c>
    </row>
    <row r="85" spans="2:18" ht="15" hidden="1" x14ac:dyDescent="0.25">
      <c r="B85" s="12" t="s">
        <v>18</v>
      </c>
      <c r="C85" s="94">
        <v>0</v>
      </c>
      <c r="D85" s="93" t="e">
        <f t="shared" si="9"/>
        <v>#DIV/0!</v>
      </c>
      <c r="E85" s="94">
        <f t="shared" si="10"/>
        <v>6.3549999999999995E-2</v>
      </c>
      <c r="F85" s="93" t="e">
        <f t="shared" si="11"/>
        <v>#DIV/0!</v>
      </c>
      <c r="G85" s="94">
        <f t="shared" si="12"/>
        <v>2.5419999999999998E-2</v>
      </c>
      <c r="H85" s="93" t="e">
        <f t="shared" si="13"/>
        <v>#DIV/0!</v>
      </c>
      <c r="I85" s="94">
        <f t="shared" si="14"/>
        <v>3.8129999999999997E-2</v>
      </c>
      <c r="J85" s="93" t="e">
        <f t="shared" si="15"/>
        <v>#DIV/0!</v>
      </c>
      <c r="K85" s="94">
        <f t="shared" si="16"/>
        <v>5.0839999999999996E-2</v>
      </c>
      <c r="L85" s="93" t="e">
        <f t="shared" si="17"/>
        <v>#DIV/0!</v>
      </c>
      <c r="N85" s="138" t="s">
        <v>18</v>
      </c>
      <c r="O85" s="140"/>
      <c r="P85" s="147"/>
      <c r="Q85" s="163"/>
      <c r="R85" s="156">
        <f t="shared" si="18"/>
        <v>0</v>
      </c>
    </row>
    <row r="86" spans="2:18" ht="15" hidden="1" x14ac:dyDescent="0.25">
      <c r="B86" s="12" t="s">
        <v>2</v>
      </c>
      <c r="C86" s="94">
        <v>0</v>
      </c>
      <c r="D86" s="93" t="e">
        <f t="shared" si="9"/>
        <v>#DIV/0!</v>
      </c>
      <c r="E86" s="94">
        <f t="shared" si="10"/>
        <v>1.7824999999999997E-2</v>
      </c>
      <c r="F86" s="93" t="e">
        <f t="shared" si="11"/>
        <v>#DIV/0!</v>
      </c>
      <c r="G86" s="94">
        <f t="shared" si="12"/>
        <v>7.1299999999999992E-3</v>
      </c>
      <c r="H86" s="93" t="e">
        <f t="shared" si="13"/>
        <v>#DIV/0!</v>
      </c>
      <c r="I86" s="94">
        <f t="shared" si="14"/>
        <v>1.0694999999999998E-2</v>
      </c>
      <c r="J86" s="93" t="e">
        <f t="shared" si="15"/>
        <v>#DIV/0!</v>
      </c>
      <c r="K86" s="94">
        <f t="shared" si="16"/>
        <v>1.4259999999999998E-2</v>
      </c>
      <c r="L86" s="93" t="e">
        <f t="shared" si="17"/>
        <v>#DIV/0!</v>
      </c>
      <c r="N86" s="138" t="s">
        <v>2</v>
      </c>
      <c r="O86" s="140"/>
      <c r="P86" s="147"/>
      <c r="Q86" s="163"/>
      <c r="R86" s="156">
        <f t="shared" si="18"/>
        <v>0</v>
      </c>
    </row>
    <row r="87" spans="2:18" ht="15" hidden="1" x14ac:dyDescent="0.25">
      <c r="B87" s="12" t="s">
        <v>17</v>
      </c>
      <c r="C87" s="94">
        <v>0</v>
      </c>
      <c r="D87" s="93" t="e">
        <f t="shared" si="9"/>
        <v>#DIV/0!</v>
      </c>
      <c r="E87" s="94">
        <f t="shared" si="10"/>
        <v>1.8599999999999998E-2</v>
      </c>
      <c r="F87" s="93" t="e">
        <f t="shared" si="11"/>
        <v>#DIV/0!</v>
      </c>
      <c r="G87" s="94">
        <f t="shared" si="12"/>
        <v>7.4399999999999996E-3</v>
      </c>
      <c r="H87" s="93" t="e">
        <f t="shared" si="13"/>
        <v>#DIV/0!</v>
      </c>
      <c r="I87" s="94">
        <f t="shared" si="14"/>
        <v>1.1159999999999998E-2</v>
      </c>
      <c r="J87" s="93" t="e">
        <f t="shared" si="15"/>
        <v>#DIV/0!</v>
      </c>
      <c r="K87" s="94">
        <f t="shared" si="16"/>
        <v>1.4879999999999999E-2</v>
      </c>
      <c r="L87" s="93" t="e">
        <f t="shared" si="17"/>
        <v>#DIV/0!</v>
      </c>
      <c r="N87" s="138" t="s">
        <v>17</v>
      </c>
      <c r="O87" s="140"/>
      <c r="P87" s="147"/>
      <c r="Q87" s="163"/>
      <c r="R87" s="156">
        <f t="shared" si="18"/>
        <v>0</v>
      </c>
    </row>
    <row r="88" spans="2:18" ht="15" hidden="1" x14ac:dyDescent="0.25">
      <c r="B88" s="12" t="s">
        <v>5</v>
      </c>
      <c r="C88" s="94">
        <v>0</v>
      </c>
      <c r="D88" s="93" t="e">
        <f t="shared" si="9"/>
        <v>#DIV/0!</v>
      </c>
      <c r="E88" s="94">
        <f t="shared" si="10"/>
        <v>6.4324999999999993E-2</v>
      </c>
      <c r="F88" s="93" t="e">
        <f t="shared" si="11"/>
        <v>#DIV/0!</v>
      </c>
      <c r="G88" s="94">
        <f t="shared" si="12"/>
        <v>2.5729999999999999E-2</v>
      </c>
      <c r="H88" s="93" t="e">
        <f t="shared" si="13"/>
        <v>#DIV/0!</v>
      </c>
      <c r="I88" s="94">
        <f t="shared" si="14"/>
        <v>3.8594999999999997E-2</v>
      </c>
      <c r="J88" s="93" t="e">
        <f t="shared" si="15"/>
        <v>#DIV/0!</v>
      </c>
      <c r="K88" s="94">
        <f t="shared" si="16"/>
        <v>5.1459999999999999E-2</v>
      </c>
      <c r="L88" s="93" t="e">
        <f t="shared" si="17"/>
        <v>#DIV/0!</v>
      </c>
      <c r="N88" s="138" t="s">
        <v>5</v>
      </c>
      <c r="O88" s="140"/>
      <c r="P88" s="147"/>
      <c r="Q88" s="163"/>
      <c r="R88" s="156">
        <f t="shared" si="18"/>
        <v>0</v>
      </c>
    </row>
    <row r="89" spans="2:18" ht="15" hidden="1" x14ac:dyDescent="0.25">
      <c r="B89" s="8" t="s">
        <v>19</v>
      </c>
      <c r="C89" s="143">
        <v>0</v>
      </c>
      <c r="D89" s="84" t="e">
        <f t="shared" si="9"/>
        <v>#DIV/0!</v>
      </c>
      <c r="E89" s="143">
        <f t="shared" si="10"/>
        <v>0.12942499999999998</v>
      </c>
      <c r="F89" s="84" t="e">
        <f t="shared" si="11"/>
        <v>#DIV/0!</v>
      </c>
      <c r="G89" s="143">
        <f t="shared" si="12"/>
        <v>5.1769999999999997E-2</v>
      </c>
      <c r="H89" s="84" t="e">
        <f t="shared" si="13"/>
        <v>#DIV/0!</v>
      </c>
      <c r="I89" s="143">
        <f t="shared" si="14"/>
        <v>7.7654999999999988E-2</v>
      </c>
      <c r="J89" s="84" t="e">
        <f t="shared" si="15"/>
        <v>#DIV/0!</v>
      </c>
      <c r="K89" s="143">
        <f t="shared" si="16"/>
        <v>0.10353999999999999</v>
      </c>
      <c r="L89" s="84" t="e">
        <f t="shared" si="17"/>
        <v>#DIV/0!</v>
      </c>
      <c r="N89" s="137" t="s">
        <v>19</v>
      </c>
      <c r="O89" s="139"/>
      <c r="P89" s="153"/>
      <c r="Q89" s="164"/>
      <c r="R89" s="154">
        <f t="shared" si="18"/>
        <v>0</v>
      </c>
    </row>
    <row r="90" spans="2:18" ht="15" hidden="1" x14ac:dyDescent="0.25">
      <c r="B90" s="1"/>
      <c r="C90" s="94">
        <f>SUM(C83:C89)</f>
        <v>0.97499999999999987</v>
      </c>
      <c r="D90" s="93" t="e">
        <f>SUM(D83:D89)</f>
        <v>#DIV/0!</v>
      </c>
      <c r="E90" s="94"/>
      <c r="F90" s="92" t="e">
        <f>SUM(F83:F89)</f>
        <v>#DIV/0!</v>
      </c>
      <c r="G90" s="1"/>
      <c r="H90" s="93" t="e">
        <f>SUM(H83:H89)</f>
        <v>#DIV/0!</v>
      </c>
      <c r="I90" s="1"/>
      <c r="J90" s="93" t="e">
        <f>SUM(J83:J89)</f>
        <v>#DIV/0!</v>
      </c>
      <c r="K90" s="1"/>
      <c r="L90" s="93" t="e">
        <f>SUM(L83:L89)</f>
        <v>#DIV/0!</v>
      </c>
      <c r="N90" s="138"/>
      <c r="O90" s="140"/>
      <c r="P90" s="148"/>
      <c r="Q90" s="152"/>
      <c r="R90" s="156">
        <f>SUM(R83:R89)</f>
        <v>44.400000000000006</v>
      </c>
    </row>
    <row r="91" spans="2:18" ht="15" hidden="1" x14ac:dyDescent="0.25">
      <c r="F91" s="85" t="s">
        <v>188</v>
      </c>
    </row>
    <row r="92" spans="2:18" ht="15" hidden="1" x14ac:dyDescent="0.25">
      <c r="B92" s="94" t="s">
        <v>118</v>
      </c>
      <c r="C92" s="1"/>
    </row>
    <row r="93" spans="2:18" ht="15" hidden="1" x14ac:dyDescent="0.25">
      <c r="B93" s="94" t="e">
        <f>'Uudet hinnat'!$C$30</f>
        <v>#DIV/0!</v>
      </c>
      <c r="C93" s="1" t="s">
        <v>20</v>
      </c>
    </row>
    <row r="94" spans="2:18" ht="15" hidden="1" x14ac:dyDescent="0.25"/>
    <row r="95" spans="2:18" ht="15" hidden="1" x14ac:dyDescent="0.25">
      <c r="E95" s="22" t="s">
        <v>37</v>
      </c>
      <c r="F95" s="22" t="s">
        <v>146</v>
      </c>
      <c r="G95" s="140" t="s">
        <v>147</v>
      </c>
      <c r="H95" s="159" t="s">
        <v>148</v>
      </c>
      <c r="I95" s="169" t="s">
        <v>139</v>
      </c>
    </row>
    <row r="96" spans="2:18" ht="15" hidden="1" x14ac:dyDescent="0.25">
      <c r="E96" s="102">
        <v>0.4</v>
      </c>
      <c r="F96" s="93" t="e">
        <f>H90</f>
        <v>#DIV/0!</v>
      </c>
      <c r="G96" s="158">
        <f>$R$90</f>
        <v>44.400000000000006</v>
      </c>
      <c r="H96" s="175">
        <f>G96+G96*$H$7</f>
        <v>44.400000000000006</v>
      </c>
      <c r="I96" s="172" t="e">
        <f>SUM(F96:H96)</f>
        <v>#DIV/0!</v>
      </c>
    </row>
    <row r="97" spans="5:9" ht="15" hidden="1" x14ac:dyDescent="0.25">
      <c r="E97" s="102">
        <v>0.6</v>
      </c>
      <c r="F97" s="93" t="e">
        <f>J90</f>
        <v>#DIV/0!</v>
      </c>
      <c r="G97" s="158">
        <f>$R$90</f>
        <v>44.400000000000006</v>
      </c>
      <c r="H97" s="175">
        <f>G97+G97*$H$7</f>
        <v>44.400000000000006</v>
      </c>
      <c r="I97" s="172" t="e">
        <f>SUM(F97:H97)</f>
        <v>#DIV/0!</v>
      </c>
    </row>
    <row r="98" spans="5:9" ht="15" hidden="1" x14ac:dyDescent="0.25">
      <c r="E98" s="102">
        <v>0.8</v>
      </c>
      <c r="F98" s="93" t="e">
        <f>L90</f>
        <v>#DIV/0!</v>
      </c>
      <c r="G98" s="158">
        <f>$R$90</f>
        <v>44.400000000000006</v>
      </c>
      <c r="H98" s="175">
        <f>G98+G98*$H$7</f>
        <v>44.400000000000006</v>
      </c>
      <c r="I98" s="172" t="e">
        <f>SUM(F98:H98)</f>
        <v>#DIV/0!</v>
      </c>
    </row>
    <row r="99" spans="5:9" ht="15" hidden="1" x14ac:dyDescent="0.25">
      <c r="E99" s="169" t="s">
        <v>149</v>
      </c>
      <c r="F99" s="169"/>
      <c r="G99" s="169"/>
      <c r="H99" s="169"/>
      <c r="I99" s="169"/>
    </row>
    <row r="100" spans="5:9" ht="15" hidden="1" x14ac:dyDescent="0.25">
      <c r="E100" s="22" t="s">
        <v>37</v>
      </c>
      <c r="F100" s="22" t="s">
        <v>146</v>
      </c>
      <c r="G100" s="140" t="s">
        <v>147</v>
      </c>
      <c r="H100" s="159" t="s">
        <v>148</v>
      </c>
      <c r="I100" s="169" t="s">
        <v>139</v>
      </c>
    </row>
    <row r="101" spans="5:9" ht="15" hidden="1" x14ac:dyDescent="0.25">
      <c r="E101" s="102">
        <v>0.4</v>
      </c>
      <c r="F101" s="160" t="e">
        <f t="shared" ref="F101:H103" si="19">F96/SUM($F$96:$H$96)</f>
        <v>#DIV/0!</v>
      </c>
      <c r="G101" s="161" t="e">
        <f t="shared" si="19"/>
        <v>#DIV/0!</v>
      </c>
      <c r="H101" s="162" t="e">
        <f t="shared" si="19"/>
        <v>#DIV/0!</v>
      </c>
      <c r="I101" s="171" t="e">
        <f>SUM(F101:H101)</f>
        <v>#DIV/0!</v>
      </c>
    </row>
    <row r="102" spans="5:9" ht="15" hidden="1" x14ac:dyDescent="0.25">
      <c r="E102" s="102">
        <v>0.6</v>
      </c>
      <c r="F102" s="160" t="e">
        <f t="shared" si="19"/>
        <v>#DIV/0!</v>
      </c>
      <c r="G102" s="161" t="e">
        <f t="shared" si="19"/>
        <v>#DIV/0!</v>
      </c>
      <c r="H102" s="162" t="e">
        <f t="shared" si="19"/>
        <v>#DIV/0!</v>
      </c>
      <c r="I102" s="171" t="e">
        <f>SUM(F102:H102)</f>
        <v>#DIV/0!</v>
      </c>
    </row>
    <row r="103" spans="5:9" ht="15" hidden="1" x14ac:dyDescent="0.25">
      <c r="E103" s="102">
        <v>0.8</v>
      </c>
      <c r="F103" s="160" t="e">
        <f t="shared" si="19"/>
        <v>#DIV/0!</v>
      </c>
      <c r="G103" s="161" t="e">
        <f t="shared" si="19"/>
        <v>#DIV/0!</v>
      </c>
      <c r="H103" s="162" t="e">
        <f t="shared" si="19"/>
        <v>#DIV/0!</v>
      </c>
      <c r="I103" s="171" t="e">
        <f>SUM(F103:H103)</f>
        <v>#DIV/0!</v>
      </c>
    </row>
    <row r="107" spans="5:9" x14ac:dyDescent="0.3">
      <c r="E107" s="165"/>
    </row>
  </sheetData>
  <mergeCells count="7">
    <mergeCell ref="B44:C44"/>
    <mergeCell ref="B12:C12"/>
    <mergeCell ref="K13:L13"/>
    <mergeCell ref="I13:J13"/>
    <mergeCell ref="G13:H13"/>
    <mergeCell ref="E13:F13"/>
    <mergeCell ref="E12:L1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10</vt:i4>
      </vt:variant>
    </vt:vector>
  </HeadingPairs>
  <TitlesOfParts>
    <vt:vector size="10" baseType="lpstr">
      <vt:lpstr>Kansilehti</vt:lpstr>
      <vt:lpstr>Ohje</vt:lpstr>
      <vt:lpstr>Oletusarvot</vt:lpstr>
      <vt:lpstr>Operatiiviset</vt:lpstr>
      <vt:lpstr>Palvelutasot</vt:lpstr>
      <vt:lpstr>Käsittely</vt:lpstr>
      <vt:lpstr>Uudet hinnat</vt:lpstr>
      <vt:lpstr>Uudet hinnat-oma hinnanmääritys</vt:lpstr>
      <vt:lpstr>Kuvaajat</vt:lpstr>
      <vt:lpstr>Säiliöt</vt:lpstr>
    </vt:vector>
  </TitlesOfParts>
  <Company>Ympäristöhallinto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2018-06-20T07:32:06Z</cp:lastPrinted>
  <dcterms:created xsi:type="dcterms:W3CDTF">2018-06-07T10:59:11Z</dcterms:created>
  <dcterms:modified xsi:type="dcterms:W3CDTF">2019-01-28T10:06:53Z</dcterms:modified>
</cp:coreProperties>
</file>